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_rels/sheet2.xml.rels" ContentType="application/vnd.openxmlformats-package.relationships+xml"/>
  <Override PartName="/xl/worksheets/_rels/sheet3.xml.rels" ContentType="application/vnd.openxmlformats-package.relationships+xml"/>
  <Override PartName="/xl/worksheets/_rels/sheet4.xml.rels" ContentType="application/vnd.openxmlformats-package.relationships+xml"/>
  <Override PartName="/xl/worksheets/_rels/sheet5.xml.rels" ContentType="application/vnd.openxmlformats-package.relationships+xml"/>
  <Override PartName="/xl/worksheets/_rels/sheet6.xml.rels" ContentType="application/vnd.openxmlformats-package.relationships+xml"/>
  <Override PartName="/xl/worksheets/_rels/sheet7.xml.rels" ContentType="application/vnd.openxmlformats-package.relationships+xml"/>
  <Override PartName="/xl/sharedStrings.xml" ContentType="application/vnd.openxmlformats-officedocument.spreadsheetml.sharedStrings+xml"/>
  <Override PartName="/xl/comments3.xml" ContentType="application/vnd.openxmlformats-officedocument.spreadsheetml.comments+xml"/>
  <Override PartName="/xl/comments2.xml" ContentType="application/vnd.openxmlformats-officedocument.spreadsheetml.comments+xml"/>
  <Override PartName="/xl/drawings/vmlDrawing1.vml" ContentType="application/vnd.openxmlformats-officedocument.vmlDrawing"/>
  <Override PartName="/xl/drawings/drawing1.xml" ContentType="application/vnd.openxmlformats-officedocument.drawing+xml"/>
  <Override PartName="/xl/drawings/vmlDrawing2.vml" ContentType="application/vnd.openxmlformats-officedocument.vmlDrawing"/>
  <Override PartName="/xl/drawings/vmlDrawing3.vml" ContentType="application/vnd.openxmlformats-officedocument.vmlDrawing"/>
  <Override PartName="/xl/drawings/vmlDrawing4.vml" ContentType="application/vnd.openxmlformats-officedocument.vmlDrawing"/>
  <Override PartName="/xl/drawings/vmlDrawing5.vml" ContentType="application/vnd.openxmlformats-officedocument.vmlDrawing"/>
  <Override PartName="/xl/drawings/_rels/drawing1.xml.rels" ContentType="application/vnd.openxmlformats-package.relationship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media/image1.png" ContentType="image/png"/>
  <Override PartName="/xl/comments7.xml" ContentType="application/vnd.openxmlformats-officedocument.spreadsheetml.comment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Accueil" sheetId="1" state="visible" r:id="rId2"/>
    <sheet name="O" sheetId="2" state="visible" r:id="rId3"/>
    <sheet name="Cat M1" sheetId="3" state="visible" r:id="rId4"/>
    <sheet name="Cat N1" sheetId="4" state="visible" r:id="rId5"/>
    <sheet name="Cat N2-N3" sheetId="5" state="visible" r:id="rId6"/>
    <sheet name="R312-6" sheetId="6" state="visible" r:id="rId7"/>
    <sheet name="Benne Amovible" sheetId="7" state="visible" r:id="rId8"/>
  </sheets>
  <definedNames>
    <definedName function="false" hidden="false" localSheetId="6" name="_xlnm.Print_Area" vbProcedure="false">'Benne Amovible'!$A$1:$H$82</definedName>
    <definedName function="false" hidden="false" localSheetId="2" name="_xlnm.Print_Area" vbProcedure="false">'Cat M1'!$A$1:$H$143</definedName>
    <definedName function="false" hidden="false" localSheetId="3" name="_xlnm.Print_Area" vbProcedure="false">'Cat N1'!$A$1:$H$104</definedName>
    <definedName function="false" hidden="false" localSheetId="4" name="_xlnm.Print_Area" vbProcedure="false">'Cat N2-N3'!$A$1:$H$110</definedName>
    <definedName function="false" hidden="false" localSheetId="1" name="_xlnm.Print_Area" vbProcedure="false">O!$A$1:$H$95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comments2.xml><?xml version="1.0" encoding="utf-8"?>
<comments xmlns="http://schemas.openxmlformats.org/spreadsheetml/2006/main" xmlns:xdr="http://schemas.openxmlformats.org/drawingml/2006/spreadsheetDrawing">
  <authors>
    <author>SH</author>
  </authors>
  <commentList>
    <comment ref="B16" authorId="0">
      <text>
        <r>
          <rPr>
            <sz val="10"/>
            <rFont val="Arial"/>
            <family val="2"/>
            <charset val="1"/>
          </rPr>
          <t xml:space="preserve">Seulement pour les caravanes</t>
        </r>
      </text>
    </comment>
    <comment ref="B17" authorId="0">
      <text>
        <r>
          <rPr>
            <sz val="10"/>
            <rFont val="Arial"/>
            <family val="2"/>
            <charset val="1"/>
          </rPr>
          <t xml:space="preserve">Seulement pour les caravanes : longueur de la carrosserie, hors timon d’attelage</t>
        </r>
      </text>
    </comment>
    <comment ref="B19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d'eau potable et récipeint de gaz n’étaient pas pleins lors de la pesée, remplir les cases suivantes</t>
        </r>
      </text>
    </comment>
    <comment ref="B20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d'eau potable et récipient de gaz n’étaient pas pleins lors de la pesée, remplir les cases suivantes</t>
        </r>
      </text>
    </comment>
    <comment ref="B21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d'eau potable et récipient de gaz n’étaient pas pleins lors de la pesée, remplir les cases suivantes</t>
        </r>
      </text>
    </comment>
    <comment ref="B32" authorId="0">
      <text>
        <r>
          <rPr>
            <sz val="10"/>
            <rFont val="Arial"/>
            <family val="2"/>
            <charset val="1"/>
          </rPr>
          <t xml:space="preserve">Pour les caravanes si non pris en compte lors de la pesée
</t>
        </r>
      </text>
    </comment>
    <comment ref="B33" authorId="0">
      <text>
        <r>
          <rPr>
            <sz val="10"/>
            <rFont val="Arial"/>
            <family val="2"/>
            <charset val="1"/>
          </rPr>
          <t xml:space="preserve">Pour les caravanes si non pris en compte lors de la pesée</t>
        </r>
      </text>
    </comment>
    <comment ref="B34" authorId="0">
      <text>
        <r>
          <rPr>
            <sz val="10"/>
            <rFont val="Arial"/>
            <family val="2"/>
            <charset val="1"/>
          </rPr>
          <t xml:space="preserve">Pour les caravanes si non pris en compte lors de la pesée
</t>
        </r>
      </text>
    </comment>
    <comment ref="B83" authorId="0">
      <text>
        <r>
          <rPr>
            <sz val="10"/>
            <rFont val="Arial"/>
            <family val="2"/>
            <charset val="1"/>
          </rPr>
          <t xml:space="preserve">Seulement pour les caravanes
</t>
        </r>
      </text>
    </comment>
    <comment ref="B84" authorId="0">
      <text>
        <r>
          <rPr>
            <sz val="10"/>
            <rFont val="Arial"/>
            <family val="2"/>
            <charset val="1"/>
          </rPr>
          <t xml:space="preserve">Seulement pour les caravanes</t>
        </r>
      </text>
    </comment>
    <comment ref="B85" authorId="0">
      <text>
        <r>
          <rPr>
            <sz val="10"/>
            <rFont val="Arial"/>
            <family val="2"/>
            <charset val="1"/>
          </rPr>
          <t xml:space="preserve">Seulement pour les caravanes
</t>
        </r>
      </text>
    </comment>
    <comment ref="C54" authorId="0">
      <text>
        <r>
          <rPr>
            <sz val="10"/>
            <rFont val="Arial"/>
            <family val="2"/>
            <charset val="1"/>
          </rPr>
          <t xml:space="preserve">Valeur négative si coffre en avant de l’essieu avant</t>
        </r>
      </text>
    </comment>
  </commentList>
</comments>
</file>

<file path=xl/comments3.xml><?xml version="1.0" encoding="utf-8"?>
<comments xmlns="http://schemas.openxmlformats.org/spreadsheetml/2006/main" xmlns:xdr="http://schemas.openxmlformats.org/drawingml/2006/spreadsheetDrawing">
  <authors>
    <author>SH</author>
  </authors>
  <commentList>
    <comment ref="B18" authorId="0">
      <text>
        <r>
          <rPr>
            <sz val="10"/>
            <rFont val="Arial"/>
            <family val="2"/>
            <charset val="1"/>
          </rPr>
          <t xml:space="preserve">Seulement pour les autocaravanes</t>
        </r>
      </text>
    </comment>
    <comment ref="B20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21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22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38" authorId="0">
      <text>
        <r>
          <rPr>
            <sz val="10"/>
            <rFont val="Arial"/>
            <family val="2"/>
            <charset val="1"/>
          </rPr>
          <t xml:space="preserve">Pour les autocaravanes si non pris en compte lors de la pesée
</t>
        </r>
      </text>
    </comment>
    <comment ref="B39" authorId="0">
      <text>
        <r>
          <rPr>
            <sz val="10"/>
            <rFont val="Arial"/>
            <family val="2"/>
            <charset val="1"/>
          </rPr>
          <t xml:space="preserve">Pour les autocaravanes si non pris en compte lors de la pesée</t>
        </r>
      </text>
    </comment>
    <comment ref="B40" authorId="0">
      <text>
        <r>
          <rPr>
            <sz val="10"/>
            <rFont val="Arial"/>
            <family val="2"/>
            <charset val="1"/>
          </rPr>
          <t xml:space="preserve">Pour les autocaravanes si non pris en compte lors de la pesée
</t>
        </r>
      </text>
    </comment>
    <comment ref="C53" authorId="0">
      <text>
        <r>
          <rPr>
            <sz val="10"/>
            <rFont val="Arial"/>
            <family val="2"/>
            <charset val="1"/>
          </rPr>
          <t xml:space="preserve">Valeur négative si rangée en avant de l’essieu avant.</t>
        </r>
      </text>
    </comment>
    <comment ref="C77" authorId="0">
      <text>
        <r>
          <rPr>
            <sz val="10"/>
            <rFont val="Arial"/>
            <family val="2"/>
            <charset val="1"/>
          </rPr>
          <t xml:space="preserve">Valeur négative si coffre en avant de l’essieu avant</t>
        </r>
      </text>
    </comment>
    <comment ref="C112" authorId="0">
      <text>
        <r>
          <rPr>
            <sz val="10"/>
            <rFont val="Arial"/>
            <family val="2"/>
            <charset val="1"/>
          </rPr>
          <t xml:space="preserve">Le critère de charge utile minimale ne prend pas en compte la charge sur le point d’attelage</t>
        </r>
      </text>
    </comment>
    <comment ref="C122" authorId="0">
      <text>
        <r>
          <rPr>
            <sz val="10"/>
            <rFont val="Arial"/>
            <family val="2"/>
            <charset val="1"/>
          </rPr>
          <t xml:space="preserve">Doit être supérieur à 30 % de la MMTA</t>
        </r>
      </text>
    </comment>
    <comment ref="C132" authorId="0">
      <text>
        <r>
          <rPr>
            <sz val="10"/>
            <rFont val="Arial"/>
            <family val="2"/>
            <charset val="1"/>
          </rPr>
          <t xml:space="preserve">Doit être supérieur à 30 % de la MMTA</t>
        </r>
      </text>
    </comment>
    <comment ref="C142" authorId="0">
      <text>
        <r>
          <rPr>
            <sz val="10"/>
            <rFont val="Arial"/>
            <family val="2"/>
            <charset val="1"/>
          </rPr>
          <t xml:space="preserve">Doit être supérieur à 20 % de la MMTA</t>
        </r>
      </text>
    </comment>
    <comment ref="D25" authorId="0">
      <text>
        <r>
          <rPr>
            <sz val="10"/>
            <rFont val="Arial"/>
            <family val="2"/>
            <charset val="1"/>
          </rPr>
          <t xml:space="preserve">Diesel : 0,84
Essence : 0,702</t>
        </r>
      </text>
    </comment>
    <comment ref="D26" authorId="0">
      <text>
        <r>
          <rPr>
            <sz val="10"/>
            <rFont val="Arial"/>
            <family val="2"/>
            <charset val="1"/>
          </rPr>
          <t xml:space="preserve">Masse volumique du GPL : 0,51
Masse volumique du GNV : 0,155
Masse volumique du GNL : 0,35</t>
        </r>
      </text>
    </comment>
    <comment ref="D131" authorId="0">
      <text>
        <r>
          <rPr>
            <sz val="10"/>
            <rFont val="Arial"/>
            <family val="2"/>
            <charset val="1"/>
          </rPr>
          <t xml:space="preserve">La masse maximale techniquement admissible sur l’essieu arrière peut être dépassée de 15 % maximum quand le véhicule tracte un remorque à moins de 100 km/h, à condition que les pneumatiques de classe C1 le permettent (indice de charge suffisant)
</t>
        </r>
      </text>
    </comment>
    <comment ref="D141" authorId="0">
      <text>
        <r>
          <rPr>
            <sz val="10"/>
            <rFont val="Arial"/>
            <family val="2"/>
            <charset val="1"/>
          </rPr>
          <t xml:space="preserve">La masse maximale techniquement admissible sur l’essieu arrière peut être dépassée de 15 % maximum quand le véhicule tracte un remorque à moins de 100 km/h, à condition que les pneumatiques de classe C1 le permettent (indice de charge suffisant)</t>
        </r>
      </text>
    </comment>
  </commentList>
</comments>
</file>

<file path=xl/comments4.xml><?xml version="1.0" encoding="utf-8"?>
<comments xmlns="http://schemas.openxmlformats.org/spreadsheetml/2006/main" xmlns:xdr="http://schemas.openxmlformats.org/drawingml/2006/spreadsheetDrawing">
  <authors>
    <author>SH</author>
  </authors>
  <commentList>
    <comment ref="B20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21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22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67" authorId="0">
      <text>
        <r>
          <rPr>
            <sz val="10"/>
            <rFont val="Arial"/>
            <family val="2"/>
            <charset val="1"/>
          </rPr>
          <t xml:space="preserve">Valeurs à justifier</t>
        </r>
      </text>
    </comment>
    <comment ref="C45" authorId="0">
      <text>
        <r>
          <rPr>
            <sz val="10"/>
            <rFont val="Arial"/>
            <family val="2"/>
            <charset val="1"/>
          </rPr>
          <t xml:space="preserve">Valeur négative si rangée en avant de l’essieu avant.</t>
        </r>
      </text>
    </comment>
    <comment ref="C68" authorId="0">
      <text>
        <r>
          <rPr>
            <sz val="10"/>
            <rFont val="Arial"/>
            <family val="2"/>
            <charset val="1"/>
          </rPr>
          <t xml:space="preserve">Le calcul de la charge utile minimale ne tient pas compte de la charge admissible au point d’attelage.</t>
        </r>
      </text>
    </comment>
    <comment ref="C79" authorId="0">
      <text>
        <r>
          <rPr>
            <sz val="10"/>
            <rFont val="Arial"/>
            <family val="2"/>
            <charset val="1"/>
          </rPr>
          <t xml:space="preserve">Doit être supérieur à 20 % de la MMTA
Pour les N1 soumis au 1230/2012 (réceptionnés entre le 01/07/2015 et le 06/07/2022), le critère est de 30 %</t>
        </r>
      </text>
    </comment>
    <comment ref="C89" authorId="0">
      <text>
        <r>
          <rPr>
            <sz val="10"/>
            <rFont val="Arial"/>
            <family val="2"/>
            <charset val="1"/>
          </rPr>
          <t xml:space="preserve">Doit être supérieur à 20 % de la MMTA
Pour les N1 soumis au 1230/2012 (réceptionnés entre le 01/07/2015 et le 06/07/2022), le critère est de 30 %</t>
        </r>
      </text>
    </comment>
    <comment ref="C99" authorId="0">
      <text>
        <r>
          <rPr>
            <sz val="10"/>
            <rFont val="Arial"/>
            <family val="2"/>
            <charset val="1"/>
          </rPr>
          <t xml:space="preserve">Doit être supérieur à 20 % de la MMTA</t>
        </r>
      </text>
    </comment>
    <comment ref="D18" authorId="0">
      <text>
        <r>
          <rPr>
            <sz val="10"/>
            <rFont val="Arial"/>
            <family val="2"/>
            <charset val="1"/>
          </rPr>
          <t xml:space="preserve">Menu déroulant</t>
        </r>
      </text>
    </comment>
    <comment ref="D25" authorId="0">
      <text>
        <r>
          <rPr>
            <sz val="10"/>
            <rFont val="Arial"/>
            <family val="2"/>
            <charset val="1"/>
          </rPr>
          <t xml:space="preserve">Diesel : 0,84
Essence : 0,702</t>
        </r>
      </text>
    </comment>
    <comment ref="D26" authorId="0">
      <text>
        <r>
          <rPr>
            <sz val="10"/>
            <rFont val="Arial"/>
            <family val="2"/>
            <charset val="1"/>
          </rPr>
          <t xml:space="preserve">Masse volumique du GPL : 0,51
Masse volumique du GNV : 0,155
Masse volumique du GNL : 0,35</t>
        </r>
      </text>
    </comment>
    <comment ref="D88" authorId="0">
      <text>
        <r>
          <rPr>
            <sz val="10"/>
            <rFont val="Arial"/>
            <family val="2"/>
            <charset val="1"/>
          </rPr>
          <t xml:space="preserve">La masse maximale techniquement admissible sur l’essieu arrière peut être dépassée de 15 % maximum quand le véhicule tracte un remorque à moins de 100 km/h, à condition que les pneumatiques de classe C1 le permettent (indice de charge suffisant)</t>
        </r>
      </text>
    </comment>
    <comment ref="D98" authorId="0">
      <text>
        <r>
          <rPr>
            <sz val="10"/>
            <rFont val="Arial"/>
            <family val="2"/>
            <charset val="1"/>
          </rPr>
          <t xml:space="preserve">La masse maximale techniquement admissible sur l’essieu arrière peut être dépassée de 15 % maximum quand le véhicule tracte un remorque à moins de 100 km/h, à condition que les pneumatiques de classe C1 le permettent (indice de charge suffisant)</t>
        </r>
      </text>
    </comment>
  </commentList>
</comments>
</file>

<file path=xl/comments5.xml><?xml version="1.0" encoding="utf-8"?>
<comments xmlns="http://schemas.openxmlformats.org/spreadsheetml/2006/main" xmlns:xdr="http://schemas.openxmlformats.org/drawingml/2006/spreadsheetDrawing">
  <authors>
    <author>SH</author>
  </authors>
  <commentList>
    <comment ref="B19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20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21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97" authorId="0">
      <text>
        <r>
          <rPr>
            <sz val="10"/>
            <rFont val="Arial"/>
            <family val="2"/>
            <charset val="1"/>
          </rPr>
          <t xml:space="preserve">Valeurs à justifier</t>
        </r>
      </text>
    </comment>
    <comment ref="C45" authorId="0">
      <text>
        <r>
          <rPr>
            <sz val="10"/>
            <rFont val="Arial"/>
            <family val="2"/>
            <charset val="1"/>
          </rPr>
          <t xml:space="preserve">Valeur négative si rangée en avant de l’essieu avant.</t>
        </r>
      </text>
    </comment>
    <comment ref="C65" authorId="0">
      <text>
        <r>
          <rPr>
            <sz val="10"/>
            <rFont val="Arial"/>
            <family val="2"/>
            <charset val="1"/>
          </rPr>
          <t xml:space="preserve">Valeur négative si coffre en avant de l’essieu avant</t>
        </r>
      </text>
    </comment>
    <comment ref="D24" authorId="0">
      <text>
        <r>
          <rPr>
            <sz val="10"/>
            <rFont val="Arial"/>
            <family val="2"/>
            <charset val="1"/>
          </rPr>
          <t xml:space="preserve">Diesel : 0,84
Essence : 0,702</t>
        </r>
      </text>
    </comment>
    <comment ref="D25" authorId="0">
      <text>
        <r>
          <rPr>
            <sz val="10"/>
            <rFont val="Arial"/>
            <family val="2"/>
            <charset val="1"/>
          </rPr>
          <t xml:space="preserve">Diesel : 0,84
Essence : 0,702</t>
        </r>
      </text>
    </comment>
    <comment ref="D26" authorId="0">
      <text>
        <r>
          <rPr>
            <sz val="10"/>
            <rFont val="Arial"/>
            <family val="2"/>
            <charset val="1"/>
          </rPr>
          <t xml:space="preserve">Masse volumique du GPL : 0,51
Masse volumique du GNV : 0,155
Masse volumique du GNL : 0,35</t>
        </r>
      </text>
    </comment>
  </commentList>
</comments>
</file>

<file path=xl/comments7.xml><?xml version="1.0" encoding="utf-8"?>
<comments xmlns="http://schemas.openxmlformats.org/spreadsheetml/2006/main" xmlns:xdr="http://schemas.openxmlformats.org/drawingml/2006/spreadsheetDrawing">
  <authors>
    <author>SH</author>
  </authors>
  <commentList>
    <comment ref="B19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20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21" authorId="0">
      <text>
        <r>
          <rPr>
            <sz val="10"/>
            <rFont val="Arial"/>
            <family val="2"/>
            <charset val="1"/>
          </rPr>
          <t xml:space="preserve">Dans tous les cas remplir Pesée avant et Pesée arrière
Si les réservoirs de carburant et d’additif n’étaient pas pleins à au moins 90 % lors de la pesée, remplir les cases suivantes</t>
        </r>
      </text>
    </comment>
    <comment ref="B55" authorId="0">
      <text>
        <r>
          <rPr>
            <sz val="10"/>
            <rFont val="Arial"/>
            <family val="2"/>
            <charset val="1"/>
          </rPr>
          <t xml:space="preserve">Longueur à mesurer sur le camion entre le bras et le rouleau arrière</t>
        </r>
      </text>
    </comment>
    <comment ref="B61" authorId="0">
      <text>
        <r>
          <rPr>
            <sz val="10"/>
            <rFont val="Arial"/>
            <family val="2"/>
            <charset val="1"/>
          </rPr>
          <t xml:space="preserve">Valeurs à justifier</t>
        </r>
      </text>
    </comment>
    <comment ref="C45" authorId="0">
      <text>
        <r>
          <rPr>
            <sz val="10"/>
            <rFont val="Arial"/>
            <family val="2"/>
            <charset val="1"/>
          </rPr>
          <t xml:space="preserve">Valeur négative si rangée en avant de l’essieu avant.</t>
        </r>
      </text>
    </comment>
    <comment ref="C70" authorId="0">
      <text>
        <r>
          <rPr>
            <sz val="10"/>
            <rFont val="Arial"/>
            <family val="2"/>
            <charset val="1"/>
          </rPr>
          <t xml:space="preserve">Doit être supérieur à 20% de la MMTA ou valeur minimale définit par le constructeur
</t>
        </r>
      </text>
    </comment>
    <comment ref="D24" authorId="0">
      <text>
        <r>
          <rPr>
            <sz val="10"/>
            <rFont val="Arial"/>
            <family val="2"/>
            <charset val="1"/>
          </rPr>
          <t xml:space="preserve">Diesel : 0,84
Essence : 0,702</t>
        </r>
      </text>
    </comment>
    <comment ref="D25" authorId="0">
      <text>
        <r>
          <rPr>
            <sz val="10"/>
            <rFont val="Arial"/>
            <family val="2"/>
            <charset val="1"/>
          </rPr>
          <t xml:space="preserve">Diesel : 0,84
Essence : 0,702</t>
        </r>
      </text>
    </comment>
    <comment ref="D26" authorId="0">
      <text>
        <r>
          <rPr>
            <sz val="10"/>
            <rFont val="Arial"/>
            <family val="2"/>
            <charset val="1"/>
          </rPr>
          <t xml:space="preserve">Masse volumique du GPL : 0,51
Masse volumique du GNV : 0,155
Masse volumique du GNL : 0,35</t>
        </r>
      </text>
    </comment>
    <comment ref="F73" authorId="0">
      <text>
        <r>
          <rPr>
            <sz val="10"/>
            <rFont val="Arial"/>
            <family val="2"/>
            <charset val="1"/>
          </rPr>
          <t xml:space="preserve">Porte-à-faux de la face arrière de la BAE + retrait maximal selon son homologation</t>
        </r>
      </text>
    </comment>
  </commentList>
</comments>
</file>

<file path=xl/sharedStrings.xml><?xml version="1.0" encoding="utf-8"?>
<sst xmlns="http://schemas.openxmlformats.org/spreadsheetml/2006/main" count="646" uniqueCount="234">
  <si>
    <t xml:space="preserve">RÉPARTITION DE LA MASSE SELON REGLEMENT UE n° 2021/535 - Annexe XIII</t>
  </si>
  <si>
    <t xml:space="preserve">Cet outil est destiné à vérifier les calculs de répartion des charges et vérifications règlementaires par catégorie de véhicule</t>
  </si>
  <si>
    <t xml:space="preserve">Cette version est verrouillée dans sa stucture et ses calculs. Les données sont à saisir dans les cellules grises,</t>
  </si>
  <si>
    <t xml:space="preserve">Cliquer sur votre cas de calcul (maintenir la touche Ctrl)</t>
  </si>
  <si>
    <t xml:space="preserve">Catégorie O : Remorques de tous PTAC (dont caravanes)</t>
  </si>
  <si>
    <t xml:space="preserve">REM - SREM - RESP - SRESP</t>
  </si>
  <si>
    <t xml:space="preserve">Catégorie M1 : Véhicules de transport de personnes de 9 places maximum (dont camping-car)</t>
  </si>
  <si>
    <t xml:space="preserve">VP - VASP</t>
  </si>
  <si>
    <t xml:space="preserve">Catégorie N1 : Véhicules de transport de marchandises de 3,5 t de PTAC maximum</t>
  </si>
  <si>
    <t xml:space="preserve">CTTE - VASP</t>
  </si>
  <si>
    <t xml:space="preserve">Catégories N2 et N3  : Véhicules de transport de marchandises de PTAC supérieur à 3,5 t</t>
  </si>
  <si>
    <t xml:space="preserve">CAM - VASP</t>
  </si>
  <si>
    <t xml:space="preserve">Catégorie N : Véhicules à benne amovible</t>
  </si>
  <si>
    <t xml:space="preserve">CAM - CTTE</t>
  </si>
  <si>
    <t xml:space="preserve">VÉHICULE DE CATÉGORIE O
CALCUL DE RÉPARTITION DES CHARGES</t>
  </si>
  <si>
    <t xml:space="preserve">Demandeur</t>
  </si>
  <si>
    <t xml:space="preserve">Véhicule :   marque</t>
  </si>
  <si>
    <t xml:space="preserve">                     type</t>
  </si>
  <si>
    <t xml:space="preserve">                     VIN</t>
  </si>
  <si>
    <t xml:space="preserve">                     Immatriculation</t>
  </si>
  <si>
    <t xml:space="preserve">                     Date de mise en circulation (jj/mm/aaaa)</t>
  </si>
  <si>
    <t xml:space="preserve">Date</t>
  </si>
  <si>
    <t xml:space="preserve">Signature</t>
  </si>
  <si>
    <t xml:space="preserve">Type de remorque</t>
  </si>
  <si>
    <t xml:space="preserve"> </t>
  </si>
  <si>
    <t xml:space="preserve">Poids total autorisé en charge </t>
  </si>
  <si>
    <t xml:space="preserve">PTAC</t>
  </si>
  <si>
    <t xml:space="preserve">Longueur</t>
  </si>
  <si>
    <t xml:space="preserve">Nombre de couchettes</t>
  </si>
  <si>
    <t xml:space="preserve">N</t>
  </si>
  <si>
    <t xml:space="preserve">Largeur</t>
  </si>
  <si>
    <t xml:space="preserve">L</t>
  </si>
  <si>
    <t xml:space="preserve">Surface</t>
  </si>
  <si>
    <t xml:space="preserve">MASSE EN ORDRE DE MARCHE</t>
  </si>
  <si>
    <t xml:space="preserve">Pesée avant</t>
  </si>
  <si>
    <t xml:space="preserve">Pesée arrière</t>
  </si>
  <si>
    <t xml:space="preserve">Volume</t>
  </si>
  <si>
    <t xml:space="preserve">Distance à l’axe du point d’attelage ou essieu pour un rond d’avant-train</t>
  </si>
  <si>
    <t xml:space="preserve">Taux de remplissage lors de la pesée</t>
  </si>
  <si>
    <t xml:space="preserve">Cas particulier des caravanes</t>
  </si>
  <si>
    <t xml:space="preserve">Réservoir d'eau potable (1)</t>
  </si>
  <si>
    <t xml:space="preserve">Réservoir d'eau potable (2)</t>
  </si>
  <si>
    <t xml:space="preserve">Récipient de gaz ou autre réservoir de combustible</t>
  </si>
  <si>
    <t xml:space="preserve">Point d’attelage ou essieu pour un rond d’avant-train</t>
  </si>
  <si>
    <t xml:space="preserve">Essieu(x) arrière(s)</t>
  </si>
  <si>
    <t xml:space="preserve">Total</t>
  </si>
  <si>
    <t xml:space="preserve">Pesées à vide</t>
  </si>
  <si>
    <t xml:space="preserve">MASSES MAXIMALES TECHNIQUEMENT ADMISSIBLES</t>
  </si>
  <si>
    <t xml:space="preserve">DÉTERMINATION DE L’EMPATTEMENT THÉORIQUE</t>
  </si>
  <si>
    <t xml:space="preserve">MMTA essieux</t>
  </si>
  <si>
    <t xml:space="preserve">Théorie</t>
  </si>
  <si>
    <t xml:space="preserve">Distance</t>
  </si>
  <si>
    <t xml:space="preserve">Avant</t>
  </si>
  <si>
    <t xml:space="preserve">Arrière</t>
  </si>
  <si>
    <t xml:space="preserve">Empattement théorique =</t>
  </si>
  <si>
    <t xml:space="preserve">ZONE DE CARGAISON (CHARGEMENT UNIFORME)</t>
  </si>
  <si>
    <t xml:space="preserve">Longueur de la zone de cargaison</t>
  </si>
  <si>
    <t xml:space="preserve">Porte-à-faux arrière utile à l’axe du dernier essieu</t>
  </si>
  <si>
    <t xml:space="preserve">Porte-à-faux arrière utile à l’axe de l’essieu théorique</t>
  </si>
  <si>
    <t xml:space="preserve">Distance du centre de gravité du chargement à l'essieu arrière théorique</t>
  </si>
  <si>
    <t xml:space="preserve">RÉPARTITION DE LA MASSE DE LA CHARGE UTILE SELON 2021/535</t>
  </si>
  <si>
    <t xml:space="preserve">Élément considéré</t>
  </si>
  <si>
    <r>
      <rPr>
        <sz val="10"/>
        <rFont val="Arial"/>
        <family val="2"/>
        <charset val="1"/>
      </rPr>
      <t xml:space="preserve">Distance par rapport à la tête ou l’essieu </t>
    </r>
    <r>
      <rPr>
        <u val="single"/>
        <sz val="10"/>
        <rFont val="Arial"/>
        <family val="2"/>
        <charset val="1"/>
      </rPr>
      <t xml:space="preserve">avant</t>
    </r>
    <r>
      <rPr>
        <sz val="10"/>
        <rFont val="Arial"/>
        <family val="2"/>
        <charset val="1"/>
      </rPr>
      <t xml:space="preserve"> (m)</t>
    </r>
  </si>
  <si>
    <t xml:space="preserve">masse de l’élément (kg)</t>
  </si>
  <si>
    <t xml:space="preserve">Chargement uniforme dans la zone de cargaison</t>
  </si>
  <si>
    <t xml:space="preserve">Coffre n°1</t>
  </si>
  <si>
    <t xml:space="preserve">Coffre n°2</t>
  </si>
  <si>
    <t xml:space="preserve">Coffre n°3</t>
  </si>
  <si>
    <t xml:space="preserve">Coffre n°4</t>
  </si>
  <si>
    <t xml:space="preserve">Coffre n°5</t>
  </si>
  <si>
    <t xml:space="preserve">Coffre n°6</t>
  </si>
  <si>
    <t xml:space="preserve">Coffre n°7</t>
  </si>
  <si>
    <t xml:space="preserve">Coffre n°8</t>
  </si>
  <si>
    <t xml:space="preserve">Coffre n°9</t>
  </si>
  <si>
    <t xml:space="preserve">Coffre n°10</t>
  </si>
  <si>
    <t xml:space="preserve">Coffre n°11</t>
  </si>
  <si>
    <t xml:space="preserve">Coffre n°12</t>
  </si>
  <si>
    <t xml:space="preserve">Coffre n°13</t>
  </si>
  <si>
    <t xml:space="preserve">Coffre n°14</t>
  </si>
  <si>
    <t xml:space="preserve">Coffre n°15</t>
  </si>
  <si>
    <t xml:space="preserve">Coffre n°16</t>
  </si>
  <si>
    <t xml:space="preserve">Coffre n°17</t>
  </si>
  <si>
    <t xml:space="preserve">Coffre n°18</t>
  </si>
  <si>
    <t xml:space="preserve">Coffre n°19</t>
  </si>
  <si>
    <t xml:space="preserve">Coffre n°20</t>
  </si>
  <si>
    <t xml:space="preserve">Coffre n°21</t>
  </si>
  <si>
    <t xml:space="preserve">Coffre n°22</t>
  </si>
  <si>
    <t xml:space="preserve">Coffre n°23</t>
  </si>
  <si>
    <t xml:space="preserve">Coffre n°24</t>
  </si>
  <si>
    <t xml:space="preserve">Coffre n°25</t>
  </si>
  <si>
    <t xml:space="preserve">Coffre n°26</t>
  </si>
  <si>
    <t xml:space="preserve">Coffre n°27</t>
  </si>
  <si>
    <t xml:space="preserve">RECEVABILITÉ EN CARAVANE SELON 2021/535 Annexe XIII partie 2 section E §2.3.4</t>
  </si>
  <si>
    <t xml:space="preserve">Valeur</t>
  </si>
  <si>
    <t xml:space="preserve">Critère</t>
  </si>
  <si>
    <t xml:space="preserve">Charge utile :</t>
  </si>
  <si>
    <t xml:space="preserve">Point d’attelage ou essieu 0 pour un rond d’avant-train</t>
  </si>
  <si>
    <t xml:space="preserve">Masse à vide en ordre de marche</t>
  </si>
  <si>
    <t xml:space="preserve">Chargement</t>
  </si>
  <si>
    <t xml:space="preserve">TOTAL</t>
  </si>
  <si>
    <t xml:space="preserve">Maximum</t>
  </si>
  <si>
    <t xml:space="preserve">Barycentre 2-3 par rapport à 2</t>
  </si>
  <si>
    <t xml:space="preserve">Barycentre 2-3-4 par rapport à 2</t>
  </si>
  <si>
    <t xml:space="preserve">Empattement théorique</t>
  </si>
  <si>
    <t xml:space="preserve">VÉHICULE DE CATÉGORIE M1
CALCUL DE RÉPARTITION DES CHARGES</t>
  </si>
  <si>
    <t xml:space="preserve">                  type</t>
  </si>
  <si>
    <t xml:space="preserve">                  VIN</t>
  </si>
  <si>
    <t xml:space="preserve">                  Immatriculation</t>
  </si>
  <si>
    <t xml:space="preserve">                  Date de mise en circulation (jj/mm/aaaa)</t>
  </si>
  <si>
    <t xml:space="preserve">Masse maximale techniquement autorisée</t>
  </si>
  <si>
    <t xml:space="preserve">MMTA (COC 16.1)</t>
  </si>
  <si>
    <t xml:space="preserve">Nombre de passagers y compris conducteur</t>
  </si>
  <si>
    <t xml:space="preserve">DÉTERMINATION DU POIDS A VIDE</t>
  </si>
  <si>
    <t xml:space="preserve">Densité</t>
  </si>
  <si>
    <t xml:space="preserve">Distance à l’axe de l’essieu avant</t>
  </si>
  <si>
    <t xml:space="preserve">Carburant</t>
  </si>
  <si>
    <t xml:space="preserve">GPL / GNC / GNL</t>
  </si>
  <si>
    <t xml:space="preserve">Additif</t>
  </si>
  <si>
    <t xml:space="preserve">Cas particulier des autocaravanes</t>
  </si>
  <si>
    <t xml:space="preserve">AV</t>
  </si>
  <si>
    <t xml:space="preserve">AR</t>
  </si>
  <si>
    <t xml:space="preserve">Masse carburant manquant</t>
  </si>
  <si>
    <t xml:space="preserve">Masse GPL/GNC/GNL manquant</t>
  </si>
  <si>
    <t xml:space="preserve">Masse AdBlue manquant</t>
  </si>
  <si>
    <t xml:space="preserve">Poids à vide</t>
  </si>
  <si>
    <t xml:space="preserve">MMTA essieux (COC 16.2)</t>
  </si>
  <si>
    <t xml:space="preserve">Distance (COC 4.1)</t>
  </si>
  <si>
    <t xml:space="preserve">Essieu 1</t>
  </si>
  <si>
    <t xml:space="preserve">Essieu 2</t>
  </si>
  <si>
    <t xml:space="preserve">1-2 : Essieu 1 à essieu 2</t>
  </si>
  <si>
    <t xml:space="preserve">Essieu 3</t>
  </si>
  <si>
    <t xml:space="preserve">2-3 : Essieu 2 à essieu 3</t>
  </si>
  <si>
    <t xml:space="preserve">Essieu 4</t>
  </si>
  <si>
    <t xml:space="preserve">3-4 : Essieu 3 à essieu 4</t>
  </si>
  <si>
    <t xml:space="preserve">RÉPARTITION DE LA MASSE DES OCCUPANTS</t>
  </si>
  <si>
    <t xml:space="preserve">Occupants</t>
  </si>
  <si>
    <r>
      <rPr>
        <sz val="10"/>
        <rFont val="Arial"/>
        <family val="2"/>
        <charset val="1"/>
      </rPr>
      <t xml:space="preserve">Distance par rapport à l’essieu </t>
    </r>
    <r>
      <rPr>
        <u val="single"/>
        <sz val="10"/>
        <rFont val="Arial"/>
        <family val="2"/>
        <charset val="1"/>
      </rPr>
      <t xml:space="preserve">avant</t>
    </r>
    <r>
      <rPr>
        <sz val="10"/>
        <rFont val="Arial"/>
        <family val="2"/>
        <charset val="1"/>
      </rPr>
      <t xml:space="preserve"> (m)</t>
    </r>
  </si>
  <si>
    <t xml:space="preserve">Nombre d’occupants</t>
  </si>
  <si>
    <t xml:space="preserve">rangée de sièges n°1</t>
  </si>
  <si>
    <t xml:space="preserve">rangée de sièges n°2</t>
  </si>
  <si>
    <t xml:space="preserve">rangée de sièges n°3</t>
  </si>
  <si>
    <t xml:space="preserve">rangée de sièges n°4</t>
  </si>
  <si>
    <t xml:space="preserve">rangée de sièges n°5</t>
  </si>
  <si>
    <t xml:space="preserve">Emplacement fauteuil roulant n°1</t>
  </si>
  <si>
    <t xml:space="preserve">Emplacement fauteuil roulant n°2</t>
  </si>
  <si>
    <t xml:space="preserve">Emplacement fauteuil roulant n°3</t>
  </si>
  <si>
    <t xml:space="preserve">Emplacement fauteuil roulant n°4</t>
  </si>
  <si>
    <t xml:space="preserve">Emplacement fauteuil roulant n°5</t>
  </si>
  <si>
    <t xml:space="preserve">CAPACITÉ DE CHARGEMENT</t>
  </si>
  <si>
    <t xml:space="preserve">Charge maximale autorisée au point d’attelage</t>
  </si>
  <si>
    <t xml:space="preserve">S (COC 19)</t>
  </si>
  <si>
    <t xml:space="preserve">Distance du point d’attelage à l’axe du dernier essieu</t>
  </si>
  <si>
    <t xml:space="preserve">Distance du point d’attelage à l’axe de l’essieu arrière théorique</t>
  </si>
  <si>
    <t xml:space="preserve">Distance du point d’attelage à l’axe de l’essieu avant théorique</t>
  </si>
  <si>
    <t xml:space="preserve">Charge utile marchandises</t>
  </si>
  <si>
    <t xml:space="preserve">RÉPARTITION DE LA CHARGE UTILE SELON 2021/535</t>
  </si>
  <si>
    <t xml:space="preserve"> VÉHICULE CHARGÉ JUSQU’À SON PTAC COMPRENANT LA MASSE SUR LE POINT D’ATTELAGE</t>
  </si>
  <si>
    <t xml:space="preserve">VÉHICULE CHARGÉ JUSQU’À SON PTAC PLUS LA MASSE SUR LE POINT D’ATTELAGE</t>
  </si>
  <si>
    <t xml:space="preserve">RECEVABILITÉ EN AUTOCARAVANE SELON 2018/858 Annexe I partie A §2</t>
  </si>
  <si>
    <t xml:space="preserve">VÉRIFICATION DU VÉHICULE CHARGÉ JUSQU’À SON PTAC SANS MASSE SUR LE POINT D’ATTELAGE</t>
  </si>
  <si>
    <t xml:space="preserve">Conducteur et passagers</t>
  </si>
  <si>
    <t xml:space="preserve">Attelage</t>
  </si>
  <si>
    <t xml:space="preserve">Répartition de charge sur l’avant</t>
  </si>
  <si>
    <t xml:space="preserve">VÉRIFICATION DU VÉHICULE CHARGÉ JUSQU’À SON PTAC COMPRENANT LA MASSE SUR LE POINT D’ATTELAGE</t>
  </si>
  <si>
    <t xml:space="preserve">VÉRIFICATION DU VÉHICULE CHARGÉ JUSQU’À SON PTAC PLUS LA MASSE SUR LE POINT D’ATTELAGE</t>
  </si>
  <si>
    <t xml:space="preserve">d</t>
  </si>
  <si>
    <t xml:space="preserve">PRESCRIPTIONS SUPPLEMENTAIRES POUR VEHICULE TRACTANT SELON 2021/535 Annexe XIII partie B §2.8.2</t>
  </si>
  <si>
    <t xml:space="preserve">Dépassement MMTA essieu arrière dans la limite de 15%</t>
  </si>
  <si>
    <t xml:space="preserve">Le véhicule tracte avec une limitation de vitesse à 100 km/h, et une pression des pneumatiques arrière
supérieure d’au moins 0,2 bar à la pression recommandée pour une utilisation normale.</t>
  </si>
  <si>
    <t xml:space="preserve">Indice de charge minimal des pneumatiques arrières</t>
  </si>
  <si>
    <t xml:space="preserve">Barycentre 3-4 par rapport à 3</t>
  </si>
  <si>
    <t xml:space="preserve">Barycentre 3-4-5 par rapport à 3</t>
  </si>
  <si>
    <t xml:space="preserve">Barycentre 1-2 par rapport à 1</t>
  </si>
  <si>
    <t xml:space="preserve">Indice mini</t>
  </si>
  <si>
    <t xml:space="preserve">Indice suffisant ?</t>
  </si>
  <si>
    <t xml:space="preserve">Indice de charge</t>
  </si>
  <si>
    <t xml:space="preserve">Masse maximale</t>
  </si>
  <si>
    <t xml:space="preserve">Essieu simple</t>
  </si>
  <si>
    <t xml:space="preserve">VÉHICULE DE CATÉGORIE N1
CALCUL DE RÉPARTITION DES CHARGES</t>
  </si>
  <si>
    <t xml:space="preserve">Ne remplir que les cases grisées – Ne saisir aucune unité (m, kg, L, %), seulement des chiffres</t>
  </si>
  <si>
    <t xml:space="preserve">Code carrosserie</t>
  </si>
  <si>
    <t xml:space="preserve">COC 38</t>
  </si>
  <si>
    <t xml:space="preserve">Distance du point d’attelage à l'essieu avant théorique</t>
  </si>
  <si>
    <t xml:space="preserve">Distance du centre de gravité du chargement à l'essieu avant théorique</t>
  </si>
  <si>
    <t xml:space="preserve">RECEVABILITÉ EN CATÉGORIE N SELON 2018/858 Annexe I partie A §3</t>
  </si>
  <si>
    <t xml:space="preserve">Nombre de places :</t>
  </si>
  <si>
    <t xml:space="preserve">Masse de l'équipement ne servant pas à contenir, manipuler ou arrimer les marchandises prise en compte dans la pesée</t>
  </si>
  <si>
    <t xml:space="preserve">VÉRIFICATIONS : VÉHICULE CHARGÉ JUSQU’À SON PTAC SANS MASSE SUR LE POINT D’ATTELAGE</t>
  </si>
  <si>
    <t xml:space="preserve">Poids à vide </t>
  </si>
  <si>
    <t xml:space="preserve">VÉRIFICATIONS : VÉHICULE CHARGÉ JUSQU’À SON PTAC COMPRENANT LA MASSE SUR LE POINT D’ATTELAGE</t>
  </si>
  <si>
    <t xml:space="preserve">VÉRIFICATIONS : VÉHICULE CHARGÉ JUSQU’À SON PTAC PLUS LA MASSE SUR LE POINT D’ATTELAGE</t>
  </si>
  <si>
    <t xml:space="preserve">VÉHICULE DE CATÉGORIE N2/N3
CALCUL DE RÉPARTITION DES CHARGES</t>
  </si>
  <si>
    <r>
      <rPr>
        <sz val="10"/>
        <rFont val="Arial"/>
        <family val="2"/>
        <charset val="1"/>
      </rPr>
      <t xml:space="preserve">Distance à l’axe de l’essieu </t>
    </r>
    <r>
      <rPr>
        <u val="single"/>
        <sz val="10"/>
        <rFont val="Arial"/>
        <family val="2"/>
        <charset val="1"/>
      </rPr>
      <t xml:space="preserve">1</t>
    </r>
  </si>
  <si>
    <t xml:space="preserve">Distance à l’axe de l’essieu avant théorique</t>
  </si>
  <si>
    <t xml:space="preserve">Carburant 1</t>
  </si>
  <si>
    <t xml:space="preserve">Carburant 2</t>
  </si>
  <si>
    <r>
      <rPr>
        <sz val="10"/>
        <rFont val="Arial"/>
        <family val="2"/>
        <charset val="1"/>
      </rPr>
      <t xml:space="preserve">Distance par rapport à l’essieu </t>
    </r>
    <r>
      <rPr>
        <u val="single"/>
        <sz val="10"/>
        <rFont val="Arial"/>
        <family val="2"/>
        <charset val="1"/>
      </rPr>
      <t xml:space="preserve">1</t>
    </r>
    <r>
      <rPr>
        <sz val="10"/>
        <rFont val="Arial"/>
        <family val="2"/>
        <charset val="1"/>
      </rPr>
      <t xml:space="preserve"> (m)</t>
    </r>
  </si>
  <si>
    <t xml:space="preserve">Distance par rapport à l’essieu avant théorique</t>
  </si>
  <si>
    <t xml:space="preserve">Distance par rapport à l’axe de l’essieu avant théorique</t>
  </si>
  <si>
    <t xml:space="preserve">Chargement dans la zone de cargaison</t>
  </si>
  <si>
    <t xml:space="preserve">Charge maximale au point d’attelage pour respecter le maxi arrière</t>
  </si>
  <si>
    <t xml:space="preserve">Masse au point d’attelage minimale</t>
  </si>
  <si>
    <t xml:space="preserve">Masse tractable maximale</t>
  </si>
  <si>
    <t xml:space="preserve">Essieux simples</t>
  </si>
  <si>
    <t xml:space="preserve">13 tonnes</t>
  </si>
  <si>
    <t xml:space="preserve">Pour un groupe de plus de 2 essieux, c'est la plus petite distance entre 2 esseixu consécutifs qui définit la contrainte sur les masses de l'ensemble du groupe</t>
  </si>
  <si>
    <t xml:space="preserve">Groupe d'essieux</t>
  </si>
  <si>
    <t xml:space="preserve">Pont 11,5 tonnes</t>
  </si>
  <si>
    <t xml:space="preserve">mm</t>
  </si>
  <si>
    <t xml:space="preserve">cm</t>
  </si>
  <si>
    <t xml:space="preserve">m</t>
  </si>
  <si>
    <t xml:space="preserve">Essieu le + chargé en fonction distance</t>
  </si>
  <si>
    <t xml:space="preserve">autres essieux</t>
  </si>
  <si>
    <t xml:space="preserve">Tandem</t>
  </si>
  <si>
    <t xml:space="preserve">Tridem</t>
  </si>
  <si>
    <r>
      <rPr>
        <sz val="10"/>
        <rFont val="Arial"/>
        <family val="2"/>
        <charset val="1"/>
      </rPr>
      <t xml:space="preserve">Charge </t>
    </r>
    <r>
      <rPr>
        <b val="true"/>
        <sz val="10"/>
        <rFont val="Arial"/>
        <family val="2"/>
        <charset val="1"/>
      </rPr>
      <t xml:space="preserve">Tandem </t>
    </r>
    <r>
      <rPr>
        <sz val="10"/>
        <rFont val="Arial"/>
        <family val="2"/>
        <charset val="1"/>
      </rPr>
      <t xml:space="preserve">si pont 11,5 tonnes</t>
    </r>
  </si>
  <si>
    <t xml:space="preserve">Pont</t>
  </si>
  <si>
    <t xml:space="preserve">autre essieu</t>
  </si>
  <si>
    <t xml:space="preserve">Si 40 tonnes &lt; Ensemble &lt; 44 tonnes alors 27 tonnes maxi</t>
  </si>
  <si>
    <t xml:space="preserve">VÉHICULE DE CATÉGORIE N
CALCUL DE RÉPARTITION DES CHARGES POUR UNE BENNE AMOVIBLE</t>
  </si>
  <si>
    <t xml:space="preserve">Longueur utile de chargement de la benne sur le véhicule</t>
  </si>
  <si>
    <t xml:space="preserve">Chargement maximal</t>
  </si>
  <si>
    <t xml:space="preserve">Chargement minimal</t>
  </si>
  <si>
    <t xml:space="preserve">POSITIONS EXTRÊMES DU CENTRE DE GRAVITÉ DE LA BENNE AMOVIBLE</t>
  </si>
  <si>
    <t xml:space="preserve">Porte-à-faux arrière maximal à l’axe du dernier essieu compte-tenu des caractéristiques du dispositif anti-encastrement :</t>
  </si>
  <si>
    <t xml:space="preserve">par rapport à l’essieu arrière théorique</t>
  </si>
  <si>
    <t xml:space="preserve">par rapport au dernier essieu</t>
  </si>
  <si>
    <t xml:space="preserve">Longueur maximale de la benne</t>
  </si>
  <si>
    <t xml:space="preserve">Ymax</t>
  </si>
  <si>
    <t xml:space="preserve">Ymin</t>
  </si>
  <si>
    <t xml:space="preserve">Avec une remorque attelée</t>
  </si>
  <si>
    <t xml:space="preserve">Sans remorque attelée</t>
  </si>
  <si>
    <t xml:space="preserve">Longueur maximale de la benne selon la BAE</t>
  </si>
  <si>
    <t xml:space="preserve">Centre de gravité d’une telle benne par rapport au dernier essieu</t>
  </si>
</sst>
</file>

<file path=xl/styles.xml><?xml version="1.0" encoding="utf-8"?>
<styleSheet xmlns="http://schemas.openxmlformats.org/spreadsheetml/2006/main">
  <numFmts count="22">
    <numFmt numFmtId="164" formatCode="General"/>
    <numFmt numFmtId="165" formatCode="#,##0.00\ [$€-40C];[RED]\-#,##0.00\ [$€-40C]"/>
    <numFmt numFmtId="166" formatCode="dd/mm/yy"/>
    <numFmt numFmtId="167" formatCode="#,###&quot; kg&quot;"/>
    <numFmt numFmtId="168" formatCode="0.###&quot; m&quot;"/>
    <numFmt numFmtId="169" formatCode="#.###&quot; m&quot;"/>
    <numFmt numFmtId="170" formatCode="0.##&quot; m²&quot;"/>
    <numFmt numFmtId="171" formatCode="#&quot; kg&quot;"/>
    <numFmt numFmtId="172" formatCode="#,##0&quot; kg&quot;"/>
    <numFmt numFmtId="173" formatCode="#,###&quot; L&quot;"/>
    <numFmt numFmtId="174" formatCode="&quot;VRAI&quot;;&quot;VRAI&quot;;&quot;FAUX&quot;"/>
    <numFmt numFmtId="175" formatCode="0.000&quot; kg/L&quot;"/>
    <numFmt numFmtId="176" formatCode="0\ %"/>
    <numFmt numFmtId="177" formatCode="0&quot; kg&quot;"/>
    <numFmt numFmtId="178" formatCode="#.0&quot; kg&quot;"/>
    <numFmt numFmtId="179" formatCode="General"/>
    <numFmt numFmtId="180" formatCode="0.##&quot; m&quot;"/>
    <numFmt numFmtId="181" formatCode="0\ %"/>
    <numFmt numFmtId="182" formatCode="0.00&quot; m&quot;"/>
    <numFmt numFmtId="183" formatCode="0.0%"/>
    <numFmt numFmtId="184" formatCode="0"/>
    <numFmt numFmtId="185" formatCode="0.00"/>
  </numFmts>
  <fonts count="17">
    <font>
      <sz val="10"/>
      <name val="Arial"/>
      <family val="2"/>
      <charset val="1"/>
    </font>
    <font>
      <sz val="10"/>
      <name val="Arial"/>
      <family val="0"/>
    </font>
    <font>
      <sz val="10"/>
      <name val="Arial"/>
      <family val="0"/>
    </font>
    <font>
      <sz val="10"/>
      <name val="Arial"/>
      <family val="0"/>
    </font>
    <font>
      <b val="true"/>
      <i val="true"/>
      <sz val="16"/>
      <name val="Arial"/>
      <family val="2"/>
      <charset val="1"/>
    </font>
    <font>
      <u val="single"/>
      <sz val="10"/>
      <color rgb="FF0563C1"/>
      <name val="Arial"/>
      <family val="2"/>
      <charset val="1"/>
    </font>
    <font>
      <b val="true"/>
      <i val="true"/>
      <u val="single"/>
      <sz val="10"/>
      <name val="Arial"/>
      <family val="2"/>
      <charset val="1"/>
    </font>
    <font>
      <sz val="10"/>
      <color rgb="FFFFFFFF"/>
      <name val="Arial"/>
      <family val="2"/>
      <charset val="1"/>
    </font>
    <font>
      <b val="true"/>
      <sz val="14"/>
      <name val="Arial"/>
      <family val="2"/>
      <charset val="1"/>
    </font>
    <font>
      <sz val="14"/>
      <name val="Arial"/>
      <family val="2"/>
      <charset val="1"/>
    </font>
    <font>
      <sz val="12"/>
      <name val="Arial"/>
      <family val="2"/>
      <charset val="1"/>
    </font>
    <font>
      <u val="single"/>
      <sz val="14"/>
      <color rgb="FF0563C1"/>
      <name val="Arial"/>
      <family val="2"/>
      <charset val="1"/>
    </font>
    <font>
      <b val="true"/>
      <sz val="10"/>
      <name val="Arial"/>
      <family val="2"/>
      <charset val="1"/>
    </font>
    <font>
      <u val="single"/>
      <sz val="10"/>
      <name val="Arial"/>
      <family val="2"/>
      <charset val="1"/>
    </font>
    <font>
      <sz val="9"/>
      <color rgb="FF000000"/>
      <name val="Tahoma"/>
      <family val="2"/>
      <charset val="1"/>
    </font>
    <font>
      <b val="true"/>
      <sz val="10"/>
      <color rgb="FFFF0000"/>
      <name val="Arial"/>
      <family val="2"/>
      <charset val="1"/>
    </font>
    <font>
      <b val="true"/>
      <sz val="10"/>
      <color rgb="FFCE181E"/>
      <name val="Arial"/>
      <family val="2"/>
      <charset val="1"/>
    </font>
  </fonts>
  <fills count="11">
    <fill>
      <patternFill patternType="none"/>
    </fill>
    <fill>
      <patternFill patternType="gray125"/>
    </fill>
    <fill>
      <patternFill patternType="solid">
        <fgColor rgb="FFFF0000"/>
        <bgColor rgb="FFCC0000"/>
      </patternFill>
    </fill>
    <fill>
      <patternFill patternType="solid">
        <fgColor rgb="FF99FF99"/>
        <bgColor rgb="FFCCFFCC"/>
      </patternFill>
    </fill>
    <fill>
      <patternFill patternType="solid">
        <fgColor rgb="FFFFFFFF"/>
        <bgColor rgb="FFE7E6E6"/>
      </patternFill>
    </fill>
    <fill>
      <patternFill patternType="solid">
        <fgColor rgb="FFCCCCCC"/>
        <bgColor rgb="FFD9D9D9"/>
      </patternFill>
    </fill>
    <fill>
      <patternFill patternType="solid">
        <fgColor rgb="FFDDDDDD"/>
        <bgColor rgb="FFD9D9D9"/>
      </patternFill>
    </fill>
    <fill>
      <patternFill patternType="solid">
        <fgColor rgb="FF66FF66"/>
        <bgColor rgb="FF99FF99"/>
      </patternFill>
    </fill>
    <fill>
      <patternFill patternType="solid">
        <fgColor rgb="FFFFF200"/>
        <bgColor rgb="FFFFFF00"/>
      </patternFill>
    </fill>
    <fill>
      <patternFill patternType="solid">
        <fgColor rgb="FFD9D9D9"/>
        <bgColor rgb="FFDDDDDD"/>
      </patternFill>
    </fill>
    <fill>
      <patternFill patternType="solid">
        <fgColor rgb="FFE7E6E6"/>
        <bgColor rgb="FFDDDDDD"/>
      </patternFill>
    </fill>
  </fills>
  <borders count="25">
    <border diagonalUp="false" diagonalDown="false">
      <left/>
      <right/>
      <top/>
      <bottom/>
      <diagonal/>
    </border>
    <border diagonalUp="false" diagonalDown="false">
      <left style="hair"/>
      <right style="hair"/>
      <top style="hair"/>
      <bottom style="hair"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hair"/>
      <right style="hair"/>
      <top style="thin"/>
      <bottom style="hair"/>
      <diagonal/>
    </border>
    <border diagonalUp="false" diagonalDown="false">
      <left style="hair"/>
      <right style="hair"/>
      <top style="hair"/>
      <bottom/>
      <diagonal/>
    </border>
    <border diagonalUp="false" diagonalDown="false">
      <left/>
      <right style="hair"/>
      <top/>
      <bottom/>
      <diagonal/>
    </border>
    <border diagonalUp="false" diagonalDown="false">
      <left style="hair"/>
      <right/>
      <top/>
      <bottom/>
      <diagonal/>
    </border>
    <border diagonalUp="false" diagonalDown="false">
      <left style="hair"/>
      <right/>
      <top style="hair"/>
      <bottom style="hair"/>
      <diagonal/>
    </border>
    <border diagonalUp="false" diagonalDown="false">
      <left/>
      <right/>
      <top style="hair"/>
      <bottom/>
      <diagonal/>
    </border>
    <border diagonalUp="false" diagonalDown="false">
      <left/>
      <right style="hair"/>
      <top/>
      <bottom style="hair"/>
      <diagonal/>
    </border>
    <border diagonalUp="false" diagonalDown="false">
      <left/>
      <right/>
      <top/>
      <bottom style="hair"/>
      <diagonal/>
    </border>
    <border diagonalUp="false" diagonalDown="false">
      <left style="hair"/>
      <right style="thin"/>
      <top style="thin"/>
      <bottom style="thin"/>
      <diagonal/>
    </border>
    <border diagonalUp="false" diagonalDown="false">
      <left style="hair"/>
      <right style="hair"/>
      <top style="hair"/>
      <bottom style="thin"/>
      <diagonal/>
    </border>
    <border diagonalUp="false" diagonalDown="false">
      <left style="hair"/>
      <right style="hair"/>
      <top/>
      <bottom style="hair"/>
      <diagonal/>
    </border>
    <border diagonalUp="true" diagonalDown="true">
      <left/>
      <right/>
      <top/>
      <bottom/>
      <diagonal style="hair"/>
    </border>
    <border diagonalUp="false" diagonalDown="false">
      <left style="thin"/>
      <right/>
      <top style="thin"/>
      <bottom style="thin"/>
      <diagonal/>
    </border>
    <border diagonalUp="false" diagonalDown="false">
      <left style="thin"/>
      <right style="thin"/>
      <top style="thin"/>
      <bottom/>
      <diagonal/>
    </border>
    <border diagonalUp="false" diagonalDown="false">
      <left style="medium">
        <color rgb="FF0070C0"/>
      </left>
      <right/>
      <top style="medium">
        <color rgb="FF0070C0"/>
      </top>
      <bottom style="medium">
        <color rgb="FF0070C0"/>
      </bottom>
      <diagonal/>
    </border>
    <border diagonalUp="false" diagonalDown="false">
      <left/>
      <right style="medium">
        <color rgb="FF0070C0"/>
      </right>
      <top style="medium">
        <color rgb="FF0070C0"/>
      </top>
      <bottom style="medium">
        <color rgb="FF0070C0"/>
      </bottom>
      <diagonal/>
    </border>
    <border diagonalUp="false" diagonalDown="false">
      <left style="medium">
        <color rgb="FF0070C0"/>
      </left>
      <right style="medium">
        <color rgb="FF0070C0"/>
      </right>
      <top style="medium">
        <color rgb="FF0070C0"/>
      </top>
      <bottom style="medium">
        <color rgb="FF0070C0"/>
      </bottom>
      <diagonal/>
    </border>
    <border diagonalUp="false" diagonalDown="false">
      <left style="medium"/>
      <right/>
      <top style="medium"/>
      <bottom style="medium"/>
      <diagonal/>
    </border>
    <border diagonalUp="false" diagonalDown="false">
      <left/>
      <right style="medium"/>
      <top style="medium"/>
      <bottom style="medium"/>
      <diagonal/>
    </border>
    <border diagonalUp="false" diagonalDown="false">
      <left style="medium">
        <color rgb="FFFF0000"/>
      </left>
      <right style="medium">
        <color rgb="FFFF0000"/>
      </right>
      <top style="medium">
        <color rgb="FFFF0000"/>
      </top>
      <bottom style="medium">
        <color rgb="FFFF0000"/>
      </bottom>
      <diagonal/>
    </border>
    <border diagonalUp="false" diagonalDown="false">
      <left style="thin"/>
      <right style="thin"/>
      <top/>
      <bottom style="thin"/>
      <diagonal/>
    </border>
    <border diagonalUp="false" diagonalDown="false">
      <left style="thin"/>
      <right/>
      <top/>
      <bottom style="thin"/>
      <diagonal/>
    </border>
  </borders>
  <cellStyleXfs count="35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0" wrapText="false" indent="0" shrinkToFit="false"/>
    </xf>
    <xf numFmtId="164" fontId="5" fillId="0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2" borderId="0" applyFont="true" applyBorder="false" applyAlignment="true" applyProtection="false">
      <alignment horizontal="general" vertical="bottom" textRotation="0" wrapText="false" indent="0" shrinkToFit="false"/>
    </xf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4" fontId="0" fillId="3" borderId="0" applyFont="true" applyBorder="false" applyAlignment="true" applyProtection="false">
      <alignment horizontal="general" vertical="bottom" textRotation="0" wrapText="false" indent="0" shrinkToFit="false"/>
    </xf>
    <xf numFmtId="165" fontId="6" fillId="0" borderId="0" applyFont="true" applyBorder="false" applyAlignment="true" applyProtection="false">
      <alignment horizontal="general" vertical="bottom" textRotation="0" wrapText="false" indent="0" shrinkToFit="false"/>
    </xf>
    <xf numFmtId="165" fontId="6" fillId="0" borderId="0" applyFont="true" applyBorder="false" applyAlignment="true" applyProtection="false">
      <alignment horizontal="general" vertical="bottom" textRotation="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4" fontId="4" fillId="0" borderId="0" applyFont="true" applyBorder="false" applyAlignment="true" applyProtection="false">
      <alignment horizontal="center" vertical="bottom" textRotation="90" wrapText="false" indent="0" shrinkToFit="false"/>
    </xf>
    <xf numFmtId="164" fontId="7" fillId="4" border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7" fillId="4" borderId="0" applyFont="true" applyBorder="true" applyAlignment="true" applyProtection="true">
      <alignment horizontal="center" vertical="center" textRotation="0" wrapText="true" indent="0" shrinkToFit="false"/>
      <protection locked="true" hidden="false"/>
    </xf>
  </cellStyleXfs>
  <cellXfs count="244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8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9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0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1" fillId="0" borderId="0" xfId="2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164" fontId="9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5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6" fontId="0" fillId="5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0" fillId="0" borderId="0" xfId="0" applyFont="true" applyBorder="fals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2" xfId="0" applyFont="false" applyBorder="true" applyAlignment="false" applyProtection="true">
      <alignment horizontal="general" vertical="bottom" textRotation="0" wrapText="false" indent="0" shrinkToFit="false"/>
      <protection locked="false" hidden="false"/>
    </xf>
    <xf numFmtId="164" fontId="0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5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5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general" vertical="bottom" textRotation="0" wrapText="true" indent="0" shrinkToFit="false"/>
      <protection locked="true" hidden="false"/>
    </xf>
    <xf numFmtId="164" fontId="0" fillId="5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5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0" fontId="0" fillId="0" borderId="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4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0" fillId="6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5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2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top" textRotation="0" wrapText="true" indent="0" shrinkToFit="false"/>
      <protection locked="true" hidden="false"/>
    </xf>
    <xf numFmtId="164" fontId="12" fillId="0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73" fontId="0" fillId="4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73" fontId="0" fillId="5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5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5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6" fontId="0" fillId="5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7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0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2" fontId="12" fillId="6" borderId="1" xfId="0" applyFont="tru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77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78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9" fontId="0" fillId="0" borderId="1" xfId="0" applyFont="false" applyBorder="true" applyAlignment="true" applyProtection="false">
      <alignment horizontal="left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79" fontId="0" fillId="0" borderId="3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0" borderId="1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9" fontId="0" fillId="0" borderId="1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8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7" borderId="1" xfId="0" applyFont="true" applyBorder="true" applyAlignment="true" applyProtection="false">
      <alignment horizontal="right" vertical="center" textRotation="0" wrapText="false" indent="0" shrinkToFit="false"/>
      <protection locked="true" hidden="false"/>
    </xf>
    <xf numFmtId="168" fontId="12" fillId="7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right" vertical="center" textRotation="0" wrapText="false" indent="0" shrinkToFit="false"/>
      <protection locked="true" hidden="false"/>
    </xf>
    <xf numFmtId="180" fontId="12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center" vertical="center" textRotation="0" wrapText="true" indent="0" shrinkToFit="false"/>
      <protection locked="true" hidden="false"/>
    </xf>
    <xf numFmtId="168" fontId="0" fillId="0" borderId="1" xfId="0" applyFont="false" applyBorder="true" applyAlignment="true" applyProtection="false">
      <alignment horizontal="center" vertical="center" textRotation="0" wrapText="false" indent="0" shrinkToFit="false"/>
      <protection locked="true" hidden="false"/>
    </xf>
    <xf numFmtId="167" fontId="0" fillId="5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4" fontId="0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8" fontId="0" fillId="5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80" fontId="0" fillId="0" borderId="0" xfId="0" applyFont="false" applyBorder="false" applyAlignment="true" applyProtection="false">
      <alignment horizontal="center" vertical="bottom" textRotation="0" wrapText="false" indent="0" shrinkToFit="false"/>
      <protection locked="true" hidden="false"/>
    </xf>
    <xf numFmtId="17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71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center" textRotation="0" wrapText="true" indent="0" shrinkToFit="false"/>
      <protection locked="true" hidden="false"/>
    </xf>
    <xf numFmtId="164" fontId="12" fillId="0" borderId="8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false">
      <alignment horizontal="right" vertical="bottom" textRotation="0" wrapText="false" indent="0" shrinkToFit="false"/>
      <protection locked="true" hidden="false"/>
    </xf>
    <xf numFmtId="167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7" fontId="0" fillId="5" borderId="1" xfId="26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5" borderId="1" xfId="26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9" fontId="0" fillId="5" borderId="1" xfId="26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2" fontId="0" fillId="6" borderId="1" xfId="26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center" vertical="bottom" textRotation="0" wrapText="true" indent="0" shrinkToFit="false"/>
      <protection locked="true" hidden="false"/>
    </xf>
    <xf numFmtId="175" fontId="0" fillId="5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3" fontId="0" fillId="5" borderId="1" xfId="26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1" xfId="26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81" fontId="0" fillId="5" borderId="1" xfId="26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80" fontId="0" fillId="5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7" fontId="0" fillId="5" borderId="3" xfId="26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8" fontId="0" fillId="5" borderId="1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12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7" fontId="0" fillId="5" borderId="12" xfId="26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7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79" fontId="15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false">
      <alignment horizontal="left" vertical="center" textRotation="0" wrapText="true" indent="0" shrinkToFit="false"/>
      <protection locked="true" hidden="false"/>
    </xf>
    <xf numFmtId="172" fontId="0" fillId="0" borderId="1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6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82" fontId="0" fillId="0" borderId="0" xfId="0" applyFont="false" applyBorder="false" applyAlignment="true" applyProtection="fals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67" fontId="0" fillId="0" borderId="14" xfId="0" applyFont="false" applyBorder="true" applyAlignment="true" applyProtection="false">
      <alignment horizontal="center" vertical="center" textRotation="0" wrapText="true" indent="0" shrinkToFit="false"/>
      <protection locked="true" hidden="false"/>
    </xf>
    <xf numFmtId="183" fontId="12" fillId="0" borderId="1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right" vertical="bottom" textRotation="0" wrapText="false" indent="0" shrinkToFit="false"/>
      <protection locked="true" hidden="false"/>
    </xf>
    <xf numFmtId="184" fontId="12" fillId="0" borderId="0" xfId="0" applyFont="true" applyBorder="true" applyAlignment="true" applyProtection="false">
      <alignment horizontal="center" vertical="center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center" vertical="center" textRotation="0" wrapText="false" indent="0" shrinkToFit="false"/>
      <protection locked="true" hidden="false"/>
    </xf>
    <xf numFmtId="184" fontId="0" fillId="0" borderId="0" xfId="0" applyFont="true" applyBorder="true" applyAlignment="true" applyProtection="false">
      <alignment horizontal="general" vertical="center" textRotation="0" wrapText="false" indent="0" shrinkToFit="false"/>
      <protection locked="true" hidden="false"/>
    </xf>
    <xf numFmtId="179" fontId="0" fillId="0" borderId="0" xfId="0" applyFont="false" applyBorder="false" applyAlignment="true" applyProtection="false">
      <alignment horizontal="left" vertical="center" textRotation="0" wrapText="false" indent="0" shrinkToFit="false"/>
      <protection locked="true" hidden="false"/>
    </xf>
    <xf numFmtId="184" fontId="0" fillId="0" borderId="0" xfId="0" applyFont="true" applyBorder="true" applyAlignment="true" applyProtection="false">
      <alignment horizontal="general" vertical="top" textRotation="0" wrapText="true" indent="0" shrinkToFit="false"/>
      <protection locked="true" hidden="false"/>
    </xf>
    <xf numFmtId="184" fontId="0" fillId="0" borderId="0" xfId="0" applyFont="true" applyBorder="false" applyAlignment="true" applyProtection="false">
      <alignment horizontal="general" vertical="top" textRotation="0" wrapText="true" indent="0" shrinkToFit="false"/>
      <protection locked="true" hidden="false"/>
    </xf>
    <xf numFmtId="184" fontId="12" fillId="0" borderId="0" xfId="0" applyFont="true" applyBorder="false" applyAlignment="true" applyProtection="false">
      <alignment horizontal="left" vertical="top" textRotation="0" wrapText="true" indent="0" shrinkToFit="false"/>
      <protection locked="true" hidden="false"/>
    </xf>
    <xf numFmtId="185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0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center" textRotation="0" wrapText="false" indent="0" shrinkToFit="false"/>
      <protection locked="true" hidden="false"/>
    </xf>
    <xf numFmtId="164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bottom" textRotation="0" wrapText="true" indent="0" shrinkToFit="false"/>
      <protection locked="true" hidden="false"/>
    </xf>
    <xf numFmtId="170" fontId="0" fillId="0" borderId="3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0" fillId="0" borderId="0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5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6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0" fillId="0" borderId="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1" xfId="0" applyFont="true" applyBorder="true" applyAlignment="true" applyProtection="true">
      <alignment horizontal="center" vertical="bottom" textRotation="0" wrapText="true" indent="0" shrinkToFit="false"/>
      <protection locked="true" hidden="false"/>
    </xf>
    <xf numFmtId="175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7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72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9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80" fontId="0" fillId="5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64" fontId="0" fillId="0" borderId="3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7" fontId="0" fillId="0" borderId="1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0" fillId="0" borderId="12" xfId="0" applyFont="true" applyBorder="true" applyAlignment="true" applyProtection="true">
      <alignment horizontal="left" vertical="bottom" textRotation="0" wrapText="false" indent="0" shrinkToFit="false"/>
      <protection locked="true" hidden="false"/>
    </xf>
    <xf numFmtId="164" fontId="0" fillId="0" borderId="12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64" fontId="0" fillId="7" borderId="1" xfId="0" applyFont="true" applyBorder="true" applyAlignment="true" applyProtection="true">
      <alignment horizontal="right" vertical="center" textRotation="0" wrapText="false" indent="0" shrinkToFit="false"/>
      <protection locked="true" hidden="false"/>
    </xf>
    <xf numFmtId="168" fontId="12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right" vertical="center" textRotation="0" wrapText="false" indent="0" shrinkToFit="false"/>
      <protection locked="true" hidden="false"/>
    </xf>
    <xf numFmtId="180" fontId="12" fillId="0" borderId="0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general" vertical="center" textRotation="0" wrapText="false" indent="0" shrinkToFit="false"/>
      <protection locked="true" hidden="false"/>
    </xf>
    <xf numFmtId="179" fontId="15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8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4" fontId="0" fillId="0" borderId="1" xfId="0" applyFont="true" applyBorder="true" applyAlignment="true" applyProtection="true">
      <alignment horizontal="left" vertical="center" textRotation="0" wrapText="false" indent="0" shrinkToFit="false"/>
      <protection locked="true" hidden="false"/>
    </xf>
    <xf numFmtId="180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" xfId="0" applyFont="true" applyBorder="true" applyAlignment="true" applyProtection="true">
      <alignment horizontal="left" vertical="center" textRotation="0" wrapText="true" indent="0" shrinkToFit="false"/>
      <protection locked="true" hidden="false"/>
    </xf>
    <xf numFmtId="172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74" fontId="0" fillId="0" borderId="0" xfId="0" applyFont="true" applyBorder="false" applyAlignment="true" applyProtection="true">
      <alignment horizontal="center" vertical="bottom" textRotation="0" wrapText="false" indent="0" shrinkToFit="false"/>
      <protection locked="true" hidden="false"/>
    </xf>
    <xf numFmtId="174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79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71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7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7" fontId="12" fillId="0" borderId="4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7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83" fontId="12" fillId="0" borderId="2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83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6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left" vertical="center" textRotation="0" wrapText="true" indent="0" shrinkToFit="false"/>
      <protection locked="true" hidden="false"/>
    </xf>
    <xf numFmtId="179" fontId="0" fillId="0" borderId="0" xfId="0" applyFont="true" applyBorder="true" applyAlignment="true" applyProtection="false">
      <alignment horizontal="left" vertical="center" textRotation="0" wrapText="false" indent="0" shrinkToFit="false"/>
      <protection locked="true" hidden="false"/>
    </xf>
    <xf numFmtId="184" fontId="12" fillId="0" borderId="0" xfId="0" applyFont="true" applyBorder="true" applyAlignment="true" applyProtection="false">
      <alignment horizontal="left" vertical="top" textRotation="0" wrapText="true" indent="0" shrinkToFit="false"/>
      <protection locked="true" hidden="false"/>
    </xf>
    <xf numFmtId="172" fontId="0" fillId="0" borderId="0" xfId="0" applyFont="false" applyBorder="false" applyAlignment="false" applyProtection="true">
      <alignment horizontal="general" vertical="bottom" textRotation="0" wrapText="false" indent="0" shrinkToFit="false"/>
      <protection locked="true" hidden="false"/>
    </xf>
    <xf numFmtId="172" fontId="12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16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  <xf numFmtId="185" fontId="0" fillId="0" borderId="0" xfId="0" applyFont="true" applyBorder="false" applyAlignment="false" applyProtection="true">
      <alignment horizontal="general" vertical="bottom" textRotation="0" wrapText="false" indent="0" shrinkToFit="false"/>
      <protection locked="true" hidden="false"/>
    </xf>
    <xf numFmtId="164" fontId="0" fillId="8" borderId="1" xfId="0" applyFont="true" applyBorder="true" applyAlignment="false" applyProtection="true">
      <alignment horizontal="general" vertical="bottom" textRotation="0" wrapText="false" indent="0" shrinkToFit="false"/>
      <protection locked="true" hidden="false"/>
    </xf>
    <xf numFmtId="182" fontId="0" fillId="0" borderId="1" xfId="0" applyFont="fals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10" xfId="0" applyFont="false" applyBorder="true" applyAlignment="false" applyProtection="true">
      <alignment horizontal="general" vertical="bottom" textRotation="0" wrapText="false" indent="0" shrinkToFit="false"/>
      <protection locked="true" hidden="false"/>
    </xf>
    <xf numFmtId="182" fontId="0" fillId="5" borderId="3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82" fontId="0" fillId="5" borderId="1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82" fontId="0" fillId="5" borderId="12" xfId="0" applyFont="false" applyBorder="true" applyAlignment="true" applyProtection="true">
      <alignment horizontal="center" vertical="bottom" textRotation="0" wrapText="false" indent="0" shrinkToFit="false"/>
      <protection locked="false" hidden="false"/>
    </xf>
    <xf numFmtId="182" fontId="12" fillId="7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true">
      <alignment horizontal="center" vertical="bottom" textRotation="0" wrapText="true" indent="0" shrinkToFit="false"/>
      <protection locked="true" hidden="false"/>
    </xf>
    <xf numFmtId="182" fontId="0" fillId="5" borderId="1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79" fontId="0" fillId="0" borderId="1" xfId="0" applyFont="false" applyBorder="true" applyAlignment="true" applyProtection="true">
      <alignment horizontal="left" vertical="center" textRotation="0" wrapText="false" indent="0" shrinkToFit="false"/>
      <protection locked="true" hidden="false"/>
    </xf>
    <xf numFmtId="182" fontId="0" fillId="0" borderId="1" xfId="0" applyFont="false" applyBorder="true" applyAlignment="true" applyProtection="true">
      <alignment horizontal="center" vertical="center" textRotation="0" wrapText="false" indent="0" shrinkToFit="false"/>
      <protection locked="true" hidden="false"/>
    </xf>
    <xf numFmtId="167" fontId="0" fillId="0" borderId="1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74" fontId="0" fillId="0" borderId="1" xfId="0" applyFont="true" applyBorder="true" applyAlignment="true" applyProtection="true">
      <alignment horizontal="right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12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10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0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0" fillId="0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5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6" xfId="0" applyFont="tru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79" fontId="12" fillId="9" borderId="2" xfId="0" applyFont="tru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5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9" borderId="0" xfId="0" applyFont="false" applyBorder="false" applyAlignment="true" applyProtection="false">
      <alignment horizontal="left" vertical="bottom" textRotation="0" wrapText="false" indent="0" shrinkToFit="false"/>
      <protection locked="true" hidden="false"/>
    </xf>
    <xf numFmtId="179" fontId="0" fillId="9" borderId="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16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17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0" fillId="0" borderId="18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19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10" borderId="0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0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79" fontId="0" fillId="0" borderId="21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17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9" borderId="22" xfId="0" applyFont="false" applyBorder="true" applyAlignment="true" applyProtection="false">
      <alignment horizontal="left" vertical="bottom" textRotation="0" wrapText="false" indent="0" shrinkToFit="false"/>
      <protection locked="true" hidden="false"/>
    </xf>
    <xf numFmtId="164" fontId="0" fillId="0" borderId="23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0" fillId="0" borderId="24" xfId="0" applyFont="false" applyBorder="true" applyAlignment="true" applyProtection="false">
      <alignment horizontal="center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false">
      <alignment horizontal="left" vertical="bottom" textRotation="0" wrapText="false" indent="0" shrinkToFit="false"/>
      <protection locked="true" hidden="false"/>
    </xf>
    <xf numFmtId="167" fontId="0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12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12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8" fontId="0" fillId="5" borderId="3" xfId="0" applyFont="false" applyBorder="true" applyAlignment="true" applyProtection="true">
      <alignment horizontal="center" vertical="center" textRotation="0" wrapText="false" indent="0" shrinkToFit="false"/>
      <protection locked="false" hidden="false"/>
    </xf>
    <xf numFmtId="164" fontId="16" fillId="0" borderId="0" xfId="0" applyFont="true" applyBorder="false" applyAlignment="true" applyProtection="true">
      <alignment horizontal="center" vertical="center" textRotation="0" wrapText="true" indent="0" shrinkToFit="false"/>
      <protection locked="true" hidden="false"/>
    </xf>
    <xf numFmtId="164" fontId="16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82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8" fontId="12" fillId="0" borderId="1" xfId="0" applyFont="true" applyBorder="true" applyAlignment="true" applyProtection="true">
      <alignment horizontal="center" vertical="bottom" textRotation="0" wrapText="false" indent="0" shrinkToFit="false"/>
      <protection locked="true" hidden="false"/>
    </xf>
    <xf numFmtId="164" fontId="0" fillId="0" borderId="0" xfId="0" applyFont="false" applyBorder="tru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center" textRotation="0" wrapText="true" indent="0" shrinkToFit="false"/>
      <protection locked="true" hidden="false"/>
    </xf>
    <xf numFmtId="164" fontId="0" fillId="0" borderId="0" xfId="0" applyFont="false" applyBorder="true" applyAlignment="true" applyProtection="true">
      <alignment horizontal="center" vertical="bottom" textRotation="0" wrapText="true" indent="0" shrinkToFit="false"/>
      <protection locked="true" hidden="false"/>
    </xf>
    <xf numFmtId="164" fontId="0" fillId="0" borderId="0" xfId="0" applyFont="true" applyBorder="false" applyAlignment="true" applyProtection="true">
      <alignment horizontal="general" vertical="bottom" textRotation="0" wrapText="true" indent="0" shrinkToFit="false"/>
      <protection locked="true" hidden="false"/>
    </xf>
  </cellXfs>
  <cellStyles count="21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  <cellStyle name="En-tête" xfId="21"/>
    <cellStyle name="En-tête 2" xfId="22"/>
    <cellStyle name="Lien hypertexte 2" xfId="23"/>
    <cellStyle name="NOK" xfId="24"/>
    <cellStyle name="NOK 2" xfId="25"/>
    <cellStyle name="Normal 2" xfId="26"/>
    <cellStyle name="OK" xfId="27"/>
    <cellStyle name="OK 2" xfId="28"/>
    <cellStyle name="Résultat2" xfId="29"/>
    <cellStyle name="Résultat2 2" xfId="30"/>
    <cellStyle name="Titre1" xfId="31"/>
    <cellStyle name="Titre1 2" xfId="32"/>
    <cellStyle name="Vide" xfId="33"/>
    <cellStyle name="Vide 2" xfId="34"/>
    <cellStyle name="*unknown*" xfId="20" builtinId="8"/>
  </cellStyles>
  <dxfs count="71"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  <b val="0"/>
        <i val="0"/>
        <color rgb="FFCC0000"/>
        <sz val="10"/>
      </font>
      <fill>
        <patternFill>
          <bgColor rgb="FFFFCCCC"/>
        </patternFill>
      </fill>
    </dxf>
    <dxf>
      <font>
        <name val="Arial"/>
        <charset val="1"/>
        <family val="2"/>
        <b val="0"/>
        <i val="0"/>
        <color rgb="FF006600"/>
        <sz val="10"/>
      </font>
      <fill>
        <patternFill>
          <bgColor rgb="FFCCFFCC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  <b val="0"/>
        <i val="0"/>
        <color rgb="FFCC0000"/>
        <sz val="10"/>
      </font>
      <fill>
        <patternFill>
          <bgColor rgb="FFFFCCCC"/>
        </patternFill>
      </fill>
    </dxf>
    <dxf>
      <font>
        <name val="Arial"/>
        <charset val="1"/>
        <family val="2"/>
        <b val="0"/>
        <i val="0"/>
        <color rgb="FF006600"/>
        <sz val="10"/>
      </font>
      <fill>
        <patternFill>
          <bgColor rgb="FFCCFFCC"/>
        </patternFill>
      </fill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  <b val="0"/>
        <i val="0"/>
        <color rgb="FFCC0000"/>
        <sz val="10"/>
      </font>
      <fill>
        <patternFill>
          <bgColor rgb="FFFFCCCC"/>
        </patternFill>
      </fill>
    </dxf>
    <dxf>
      <font>
        <name val="Arial"/>
        <charset val="1"/>
        <family val="2"/>
        <b val="0"/>
        <i val="0"/>
        <color rgb="FF006600"/>
        <sz val="10"/>
      </font>
      <fill>
        <patternFill>
          <bgColor rgb="FFCCFFCC"/>
        </patternFill>
      </fill>
    </dxf>
    <dxf>
      <font>
        <name val="Arial"/>
        <charset val="1"/>
        <family val="2"/>
        <color rgb="FFDDDDDD"/>
      </font>
      <fill>
        <patternFill>
          <bgColor rgb="FFDDDDDD"/>
        </patternFill>
      </fill>
      <border diagonalUp="false" diagonalDown="false">
        <left/>
        <right/>
        <top/>
        <bottom/>
        <diagonal/>
      </border>
    </dxf>
    <dxf>
      <fill>
        <patternFill>
          <bgColor rgb="FF92D050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  <b val="0"/>
        <i val="0"/>
        <color rgb="FFCC0000"/>
        <sz val="10"/>
      </font>
      <fill>
        <patternFill>
          <bgColor rgb="FFFFCCCC"/>
        </patternFill>
      </fill>
    </dxf>
    <dxf>
      <font>
        <name val="Arial"/>
        <charset val="1"/>
        <family val="2"/>
        <b val="0"/>
        <i val="0"/>
        <color rgb="FF006600"/>
        <sz val="10"/>
      </font>
      <fill>
        <patternFill>
          <bgColor rgb="FFCCFFCC"/>
        </patternFill>
      </fill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  <b val="1"/>
        <i val="0"/>
        <color rgb="FF000000"/>
        <sz val="10"/>
      </font>
    </dxf>
    <dxf>
      <font>
        <name val="Arial"/>
        <charset val="1"/>
        <family val="2"/>
        <b val="1"/>
        <i val="0"/>
        <color rgb="FF000000"/>
        <sz val="10"/>
      </font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  <color rgb="FFFFFFFF"/>
      </font>
      <fill>
        <patternFill>
          <bgColor rgb="FFFFFFFF"/>
        </patternFill>
      </fill>
      <border diagonalUp="false" diagonalDown="false">
        <left/>
        <right/>
        <top/>
        <bottom/>
        <diagonal/>
      </border>
    </dxf>
    <dxf>
      <font>
        <name val="Arial"/>
        <charset val="1"/>
        <family val="2"/>
        <b val="1"/>
        <i val="0"/>
        <color rgb="FF000000"/>
        <sz val="10"/>
      </font>
    </dxf>
    <dxf>
      <font>
        <name val="Arial"/>
        <charset val="1"/>
        <family val="2"/>
        <b val="1"/>
        <i val="0"/>
        <color rgb="FF000000"/>
        <sz val="10"/>
      </font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  <b val="0"/>
        <i val="0"/>
        <color rgb="FFCC0000"/>
        <sz val="10"/>
      </font>
      <fill>
        <patternFill>
          <bgColor rgb="FFFFCCCC"/>
        </patternFill>
      </fill>
    </dxf>
    <dxf>
      <font>
        <name val="Arial"/>
        <charset val="1"/>
        <family val="2"/>
        <b val="0"/>
        <i val="0"/>
        <color rgb="FF006600"/>
        <sz val="10"/>
      </font>
      <fill>
        <patternFill>
          <bgColor rgb="FFCCFFCC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</font>
      <fill>
        <patternFill>
          <bgColor rgb="FF99FF99"/>
        </patternFill>
      </fill>
    </dxf>
    <dxf>
      <font>
        <name val="Arial"/>
        <charset val="1"/>
        <family val="2"/>
      </font>
      <fill>
        <patternFill>
          <bgColor rgb="FFFF0000"/>
        </patternFill>
      </fill>
    </dxf>
    <dxf>
      <font>
        <name val="Arial"/>
        <charset val="1"/>
        <family val="2"/>
        <b val="0"/>
        <i val="0"/>
        <color rgb="FFCC0000"/>
        <sz val="10"/>
      </font>
      <fill>
        <patternFill>
          <bgColor rgb="FFFFCCCC"/>
        </patternFill>
      </fill>
    </dxf>
    <dxf>
      <font>
        <name val="Arial"/>
        <charset val="1"/>
        <family val="2"/>
        <b val="0"/>
        <i val="0"/>
        <color rgb="FF006600"/>
        <sz val="10"/>
      </font>
      <fill>
        <patternFill>
          <bgColor rgb="FFCCFFCC"/>
        </patternFill>
      </fill>
    </dxf>
  </dxfs>
  <colors>
    <indexedColors>
      <rgbColor rgb="FF000000"/>
      <rgbColor rgb="FFFFFFFF"/>
      <rgbColor rgb="FFFF0000"/>
      <rgbColor rgb="FF00FF00"/>
      <rgbColor rgb="FF0000FF"/>
      <rgbColor rgb="FFFFF200"/>
      <rgbColor rgb="FFFF00FF"/>
      <rgbColor rgb="FF00FFFF"/>
      <rgbColor rgb="FFCC0000"/>
      <rgbColor rgb="FF006600"/>
      <rgbColor rgb="FF000080"/>
      <rgbColor rgb="FF808000"/>
      <rgbColor rgb="FF800080"/>
      <rgbColor rgb="FF0070C0"/>
      <rgbColor rgb="FFCCCCCC"/>
      <rgbColor rgb="FF808080"/>
      <rgbColor rgb="FF9999FF"/>
      <rgbColor rgb="FF993366"/>
      <rgbColor rgb="FFE7E6E6"/>
      <rgbColor rgb="FFDDDDDD"/>
      <rgbColor rgb="FF660066"/>
      <rgbColor rgb="FFFF8080"/>
      <rgbColor rgb="FF0563C1"/>
      <rgbColor rgb="FFD9D9D9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99FF99"/>
      <rgbColor rgb="FFCCFFCC"/>
      <rgbColor rgb="FFFFFF99"/>
      <rgbColor rgb="FF99CCFF"/>
      <rgbColor rgb="FFFF99CC"/>
      <rgbColor rgb="FFCC99FF"/>
      <rgbColor rgb="FFFFCCCC"/>
      <rgbColor rgb="FF3366FF"/>
      <rgbColor rgb="FF66FF66"/>
      <rgbColor rgb="FF92D05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CE181E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worksheet" Target="worksheets/sheet1.xml"/><Relationship Id="rId3" Type="http://schemas.openxmlformats.org/officeDocument/2006/relationships/worksheet" Target="worksheets/sheet2.xml"/><Relationship Id="rId4" Type="http://schemas.openxmlformats.org/officeDocument/2006/relationships/worksheet" Target="worksheets/sheet3.xml"/><Relationship Id="rId5" Type="http://schemas.openxmlformats.org/officeDocument/2006/relationships/worksheet" Target="worksheets/sheet4.xml"/><Relationship Id="rId6" Type="http://schemas.openxmlformats.org/officeDocument/2006/relationships/worksheet" Target="worksheets/sheet5.xml"/><Relationship Id="rId7" Type="http://schemas.openxmlformats.org/officeDocument/2006/relationships/worksheet" Target="worksheets/sheet6.xml"/><Relationship Id="rId8" Type="http://schemas.openxmlformats.org/officeDocument/2006/relationships/worksheet" Target="worksheets/sheet7.xml"/><Relationship Id="rId9" Type="http://schemas.openxmlformats.org/officeDocument/2006/relationships/sharedStrings" Target="sharedStrings.xml"/>
</Relationships>
</file>

<file path=xl/drawings/_rels/drawing1.xml.rels><?xml version="1.0" encoding="UTF-8"?>
<Relationships xmlns="http://schemas.openxmlformats.org/package/2006/relationships"><Relationship Id="rId1" Type="http://schemas.openxmlformats.org/officeDocument/2006/relationships/image" Target="../media/image1.png"/>
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>
  <xdr:twoCellAnchor editAs="oneCell">
    <xdr:from>
      <xdr:col>0</xdr:col>
      <xdr:colOff>0</xdr:colOff>
      <xdr:row>34</xdr:row>
      <xdr:rowOff>0</xdr:rowOff>
    </xdr:from>
    <xdr:to>
      <xdr:col>13</xdr:col>
      <xdr:colOff>362880</xdr:colOff>
      <xdr:row>74</xdr:row>
      <xdr:rowOff>114840</xdr:rowOff>
    </xdr:to>
    <xdr:pic>
      <xdr:nvPicPr>
        <xdr:cNvPr id="0" name="Image 1" descr=""/>
        <xdr:cNvPicPr/>
      </xdr:nvPicPr>
      <xdr:blipFill>
        <a:blip r:embed="rId1"/>
        <a:stretch/>
      </xdr:blipFill>
      <xdr:spPr>
        <a:xfrm>
          <a:off x="0" y="5572080"/>
          <a:ext cx="10153440" cy="6591960"/>
        </a:xfrm>
        <a:prstGeom prst="rect">
          <a:avLst/>
        </a:prstGeom>
        <a:ln w="0">
          <a:noFill/>
        </a:ln>
      </xdr:spPr>
    </xdr:pic>
    <xdr:clientData/>
  </xdr:twoCellAnchor>
</xdr:wsDr>
</file>

<file path=xl/worksheets/_rels/sheet2.xml.rels><?xml version="1.0" encoding="UTF-8"?>
<Relationships xmlns="http://schemas.openxmlformats.org/package/2006/relationships"><Relationship Id="rId1" Type="http://schemas.openxmlformats.org/officeDocument/2006/relationships/comments" Target="../comments2.xml"/><Relationship Id="rId2" Type="http://schemas.openxmlformats.org/officeDocument/2006/relationships/vmlDrawing" Target="../drawings/vmlDrawing1.vml"/>
</Relationships>
</file>

<file path=xl/worksheets/_rels/sheet3.xml.rels><?xml version="1.0" encoding="UTF-8"?>
<Relationships xmlns="http://schemas.openxmlformats.org/package/2006/relationships"><Relationship Id="rId1" Type="http://schemas.openxmlformats.org/officeDocument/2006/relationships/comments" Target="../comments3.xml"/><Relationship Id="rId2" Type="http://schemas.openxmlformats.org/officeDocument/2006/relationships/vmlDrawing" Target="../drawings/vmlDrawing2.vml"/>
</Relationships>
</file>

<file path=xl/worksheets/_rels/sheet4.xml.rels><?xml version="1.0" encoding="UTF-8"?>
<Relationships xmlns="http://schemas.openxmlformats.org/package/2006/relationships"><Relationship Id="rId1" Type="http://schemas.openxmlformats.org/officeDocument/2006/relationships/comments" Target="../comments4.xml"/><Relationship Id="rId2" Type="http://schemas.openxmlformats.org/officeDocument/2006/relationships/vmlDrawing" Target="../drawings/vmlDrawing3.vml"/>
</Relationships>
</file>

<file path=xl/worksheets/_rels/sheet5.xml.rels><?xml version="1.0" encoding="UTF-8"?>
<Relationships xmlns="http://schemas.openxmlformats.org/package/2006/relationships"><Relationship Id="rId1" Type="http://schemas.openxmlformats.org/officeDocument/2006/relationships/comments" Target="../comments5.xml"/><Relationship Id="rId2" Type="http://schemas.openxmlformats.org/officeDocument/2006/relationships/vmlDrawing" Target="../drawings/vmlDrawing4.vml"/>
</Relationships>
</file>

<file path=xl/worksheets/_rels/sheet6.xml.rels><?xml version="1.0" encoding="UTF-8"?>
<Relationships xmlns="http://schemas.openxmlformats.org/package/2006/relationships"><Relationship Id="rId1" Type="http://schemas.openxmlformats.org/officeDocument/2006/relationships/drawing" Target="../drawings/drawing1.xml"/>
</Relationships>
</file>

<file path=xl/worksheets/_rels/sheet7.xml.rels><?xml version="1.0" encoding="UTF-8"?>
<Relationships xmlns="http://schemas.openxmlformats.org/package/2006/relationships"><Relationship Id="rId1" Type="http://schemas.openxmlformats.org/officeDocument/2006/relationships/comments" Target="../comments7.xml"/><Relationship Id="rId2" Type="http://schemas.openxmlformats.org/officeDocument/2006/relationships/vmlDrawing" Target="../drawings/vmlDrawing5.vml"/>
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BR13"/>
  <sheetViews>
    <sheetView showFormulas="false" showGridLines="false" showRowColHeaders="true" showZeros="true" rightToLeft="false" tabSelected="tru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8984375" defaultRowHeight="12.75" zeroHeight="true" outlineLevelRow="0" outlineLevelCol="0"/>
  <cols>
    <col collapsed="false" customWidth="true" hidden="false" outlineLevel="0" max="1" min="1" style="0" width="3.71"/>
    <col collapsed="false" customWidth="true" hidden="false" outlineLevel="0" max="2" min="2" style="0" width="78.99"/>
    <col collapsed="false" customWidth="true" hidden="false" outlineLevel="0" max="3" min="3" style="0" width="2.29"/>
    <col collapsed="false" customWidth="false" hidden="true" outlineLevel="0" max="64" min="4" style="0" width="11.57"/>
  </cols>
  <sheetData>
    <row r="1" customFormat="false" ht="18" hidden="false" customHeight="false" outlineLevel="0" collapsed="false">
      <c r="B1" s="1" t="s">
        <v>0</v>
      </c>
    </row>
    <row r="2" customFormat="false" ht="18" hidden="false" customHeight="false" outlineLevel="0" collapsed="false">
      <c r="B2" s="2"/>
    </row>
    <row r="3" customFormat="false" ht="18" hidden="false" customHeight="false" outlineLevel="0" collapsed="false">
      <c r="B3" s="3" t="s">
        <v>1</v>
      </c>
    </row>
    <row r="4" customFormat="false" ht="18" hidden="false" customHeight="false" outlineLevel="0" collapsed="false">
      <c r="B4" s="3" t="s">
        <v>2</v>
      </c>
    </row>
    <row r="5" customFormat="false" ht="12.75" hidden="false" customHeight="false" outlineLevel="0" collapsed="false">
      <c r="B5" s="4"/>
    </row>
    <row r="6" customFormat="false" ht="18" hidden="false" customHeight="false" outlineLevel="0" collapsed="false">
      <c r="B6" s="5" t="s">
        <v>3</v>
      </c>
    </row>
    <row r="7" customFormat="false" ht="12.75" hidden="false" customHeight="false" outlineLevel="0" collapsed="false">
      <c r="B7" s="4"/>
    </row>
    <row r="8" customFormat="false" ht="18" hidden="false" customHeight="false" outlineLevel="0" collapsed="false">
      <c r="A8" s="6" t="n">
        <v>1</v>
      </c>
      <c r="B8" s="7" t="s">
        <v>4</v>
      </c>
      <c r="BR8" s="8" t="s">
        <v>5</v>
      </c>
    </row>
    <row r="9" customFormat="false" ht="18" hidden="false" customHeight="false" outlineLevel="0" collapsed="false">
      <c r="A9" s="6" t="n">
        <v>2</v>
      </c>
      <c r="B9" s="7" t="s">
        <v>6</v>
      </c>
      <c r="BR9" s="8" t="s">
        <v>7</v>
      </c>
    </row>
    <row r="10" customFormat="false" ht="18" hidden="false" customHeight="false" outlineLevel="0" collapsed="false">
      <c r="A10" s="6" t="n">
        <v>3</v>
      </c>
      <c r="B10" s="7" t="s">
        <v>8</v>
      </c>
      <c r="BR10" s="8" t="s">
        <v>9</v>
      </c>
    </row>
    <row r="11" customFormat="false" ht="18" hidden="false" customHeight="false" outlineLevel="0" collapsed="false">
      <c r="A11" s="6" t="n">
        <v>4</v>
      </c>
      <c r="B11" s="7" t="s">
        <v>10</v>
      </c>
      <c r="BR11" s="8" t="s">
        <v>11</v>
      </c>
    </row>
    <row r="12" customFormat="false" ht="18" hidden="false" customHeight="false" outlineLevel="0" collapsed="false">
      <c r="A12" s="6" t="n">
        <v>5</v>
      </c>
      <c r="B12" s="7" t="s">
        <v>12</v>
      </c>
      <c r="BR12" s="8" t="s">
        <v>13</v>
      </c>
    </row>
    <row r="13" customFormat="false" ht="18" hidden="false" customHeight="false" outlineLevel="0" collapsed="false">
      <c r="B13" s="8"/>
    </row>
  </sheetData>
  <sheetProtection algorithmName="SHA-512" hashValue="g3tihovgTwhXMVeF5qS3ncDaS6w/bURvvqSmy4VCf3JjysE1m4VgnB6Wj3A/2myn+VOc7/mKLCjXplpPFRtDLQ==" saltValue="CzsBDYe+0qnxJqvJ3NswmQ==" spinCount="100000" sheet="true" objects="true" scenarios="true"/>
  <hyperlinks>
    <hyperlink ref="B8" location="O!A1" display="Catégorie O : Remorques de tous PTAC (dont caravanes)"/>
    <hyperlink ref="B9" location="'Cat M1'!A1" display="Catégorie M1 : Véhicules de transport de personnes de 9 places maximum (dont camping-car)"/>
    <hyperlink ref="B10" location="'Cat N1'!A1" display="Catégorie N1 : Véhicules de transport de marchandises de 3,5 t de PTAC maximum"/>
    <hyperlink ref="B11" location="'Cat N2-N3'!A1" display="Catégories N2 et N3  : Véhicules de transport de marchandises de PTAC supérieur à 3,5 t"/>
    <hyperlink ref="B12" location="'Benne Amovible'!A1" display="Catégorie N : Véhicules à benne amovible"/>
  </hyperlink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100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3.14"/>
    <col collapsed="false" customWidth="true" hidden="false" outlineLevel="0" max="2" min="2" style="0" width="47.43"/>
    <col collapsed="false" customWidth="true" hidden="false" outlineLevel="0" max="3" min="3" style="0" width="19.71"/>
    <col collapsed="false" customWidth="true" hidden="false" outlineLevel="0" max="4" min="4" style="0" width="36.14"/>
    <col collapsed="false" customWidth="true" hidden="false" outlineLevel="0" max="5" min="5" style="0" width="15.15"/>
    <col collapsed="false" customWidth="true" hidden="false" outlineLevel="0" max="6" min="6" style="0" width="25"/>
    <col collapsed="false" customWidth="true" hidden="false" outlineLevel="0" max="7" min="7" style="0" width="25.29"/>
    <col collapsed="false" customWidth="true" hidden="false" outlineLevel="0" max="8" min="8" style="0" width="4.14"/>
    <col collapsed="false" customWidth="true" hidden="true" outlineLevel="0" max="9" min="9" style="0" width="22.14"/>
    <col collapsed="false" customWidth="true" hidden="true" outlineLevel="0" max="10" min="10" style="0" width="18"/>
  </cols>
  <sheetData>
    <row r="1" customFormat="false" ht="37.5" hidden="false" customHeight="true" outlineLevel="0" collapsed="false">
      <c r="A1" s="9" t="s">
        <v>14</v>
      </c>
      <c r="B1" s="9"/>
      <c r="C1" s="9"/>
      <c r="D1" s="9"/>
      <c r="E1" s="9"/>
      <c r="F1" s="9"/>
      <c r="G1" s="9"/>
      <c r="H1" s="9"/>
    </row>
    <row r="5" customFormat="false" ht="12.75" hidden="false" customHeight="false" outlineLevel="0" collapsed="false">
      <c r="B5" s="0" t="s">
        <v>15</v>
      </c>
      <c r="C5" s="10"/>
      <c r="D5" s="10"/>
    </row>
    <row r="6" customFormat="false" ht="12.75" hidden="false" customHeight="false" outlineLevel="0" collapsed="false">
      <c r="B6" s="0" t="s">
        <v>16</v>
      </c>
      <c r="C6" s="10"/>
      <c r="D6" s="10"/>
    </row>
    <row r="7" customFormat="false" ht="12.75" hidden="false" customHeight="false" outlineLevel="0" collapsed="false">
      <c r="B7" s="0" t="s">
        <v>17</v>
      </c>
      <c r="C7" s="10"/>
      <c r="D7" s="10"/>
    </row>
    <row r="8" customFormat="false" ht="12.75" hidden="false" customHeight="false" outlineLevel="0" collapsed="false">
      <c r="B8" s="0" t="s">
        <v>18</v>
      </c>
      <c r="C8" s="10"/>
      <c r="D8" s="10"/>
    </row>
    <row r="9" customFormat="false" ht="12.75" hidden="false" customHeight="false" outlineLevel="0" collapsed="false">
      <c r="B9" s="0" t="s">
        <v>19</v>
      </c>
      <c r="C9" s="10"/>
      <c r="D9" s="10"/>
    </row>
    <row r="10" customFormat="false" ht="12.75" hidden="false" customHeight="false" outlineLevel="0" collapsed="false">
      <c r="B10" s="0" t="s">
        <v>20</v>
      </c>
      <c r="C10" s="11"/>
      <c r="D10" s="11"/>
    </row>
    <row r="11" customFormat="false" ht="12.75" hidden="false" customHeight="false" outlineLevel="0" collapsed="false">
      <c r="B11" s="0" t="s">
        <v>21</v>
      </c>
      <c r="C11" s="11"/>
      <c r="D11" s="11"/>
    </row>
    <row r="12" customFormat="false" ht="32.25" hidden="false" customHeight="true" outlineLevel="0" collapsed="false">
      <c r="B12" s="12" t="s">
        <v>22</v>
      </c>
      <c r="C12" s="13"/>
      <c r="D12" s="13"/>
    </row>
    <row r="14" customFormat="false" ht="12.75" hidden="false" customHeight="false" outlineLevel="0" collapsed="false">
      <c r="B14" s="14" t="s">
        <v>23</v>
      </c>
      <c r="C14" s="15" t="s">
        <v>24</v>
      </c>
      <c r="D14" s="16" t="str">
        <f aca="false">IF(C14="RAT","Remorque à rond d'avant-train",IF(C14="REC","Remorque à essieux centraux",""))</f>
        <v/>
      </c>
    </row>
    <row r="15" customFormat="false" ht="12.75" hidden="false" customHeight="false" outlineLevel="0" collapsed="false">
      <c r="B15" s="14" t="s">
        <v>25</v>
      </c>
      <c r="C15" s="17" t="s">
        <v>26</v>
      </c>
      <c r="D15" s="18"/>
      <c r="F15" s="14" t="s">
        <v>27</v>
      </c>
      <c r="G15" s="19"/>
    </row>
    <row r="16" customFormat="false" ht="12.75" hidden="false" customHeight="false" outlineLevel="0" collapsed="false">
      <c r="B16" s="20" t="s">
        <v>28</v>
      </c>
      <c r="C16" s="17" t="s">
        <v>29</v>
      </c>
      <c r="D16" s="21"/>
      <c r="F16" s="14" t="s">
        <v>30</v>
      </c>
      <c r="G16" s="19"/>
    </row>
    <row r="17" customFormat="false" ht="12.75" hidden="false" customHeight="false" outlineLevel="0" collapsed="false">
      <c r="B17" s="20" t="s">
        <v>27</v>
      </c>
      <c r="C17" s="17" t="s">
        <v>31</v>
      </c>
      <c r="D17" s="22"/>
      <c r="F17" s="14" t="s">
        <v>32</v>
      </c>
      <c r="G17" s="23" t="n">
        <f aca="false">G16*G15</f>
        <v>0</v>
      </c>
    </row>
    <row r="18" customFormat="false" ht="12.75" hidden="false" customHeight="false" outlineLevel="0" collapsed="false">
      <c r="C18" s="4"/>
      <c r="D18" s="24"/>
    </row>
    <row r="19" customFormat="false" ht="12.75" hidden="false" customHeight="false" outlineLevel="0" collapsed="false">
      <c r="B19" s="25" t="s">
        <v>33</v>
      </c>
      <c r="C19" s="25"/>
      <c r="D19" s="25"/>
      <c r="E19" s="25"/>
      <c r="F19" s="25"/>
    </row>
    <row r="20" customFormat="false" ht="12.75" hidden="false" customHeight="false" outlineLevel="0" collapsed="false">
      <c r="B20" s="14" t="s">
        <v>34</v>
      </c>
      <c r="C20" s="26"/>
      <c r="F20" s="27"/>
    </row>
    <row r="21" customFormat="false" ht="12.75" hidden="false" customHeight="false" outlineLevel="0" collapsed="false">
      <c r="B21" s="14" t="s">
        <v>35</v>
      </c>
      <c r="C21" s="26"/>
      <c r="F21" s="27"/>
    </row>
    <row r="22" customFormat="false" ht="12.75" hidden="false" customHeight="false" outlineLevel="0" collapsed="false">
      <c r="B22" s="28"/>
      <c r="C22" s="29"/>
      <c r="F22" s="27"/>
    </row>
    <row r="23" customFormat="false" ht="79.5" hidden="false" customHeight="true" outlineLevel="0" collapsed="false">
      <c r="B23" s="28"/>
      <c r="C23" s="30" t="s">
        <v>36</v>
      </c>
      <c r="D23" s="31"/>
      <c r="E23" s="32" t="s">
        <v>37</v>
      </c>
      <c r="F23" s="33" t="s">
        <v>38</v>
      </c>
    </row>
    <row r="24" customFormat="false" ht="12.75" hidden="false" customHeight="false" outlineLevel="0" collapsed="false">
      <c r="B24" s="34" t="s">
        <v>39</v>
      </c>
      <c r="C24" s="35"/>
      <c r="D24" s="35"/>
      <c r="E24" s="35"/>
      <c r="F24" s="35"/>
    </row>
    <row r="25" customFormat="false" ht="12.75" hidden="false" customHeight="false" outlineLevel="0" collapsed="false">
      <c r="B25" s="36" t="s">
        <v>40</v>
      </c>
      <c r="C25" s="37"/>
      <c r="D25" s="38"/>
      <c r="E25" s="39"/>
      <c r="F25" s="40"/>
    </row>
    <row r="26" customFormat="false" ht="12.75" hidden="false" customHeight="false" outlineLevel="0" collapsed="false">
      <c r="B26" s="36" t="s">
        <v>41</v>
      </c>
      <c r="C26" s="37"/>
      <c r="D26" s="38"/>
      <c r="E26" s="39"/>
      <c r="F26" s="40"/>
    </row>
    <row r="27" customFormat="false" ht="12.75" hidden="false" customHeight="false" outlineLevel="0" collapsed="false">
      <c r="B27" s="36" t="s">
        <v>42</v>
      </c>
      <c r="C27" s="37"/>
      <c r="D27" s="38"/>
      <c r="E27" s="39"/>
      <c r="F27" s="40"/>
    </row>
    <row r="28" customFormat="false" ht="12.75" hidden="false" customHeight="false" outlineLevel="0" collapsed="false">
      <c r="B28" s="28"/>
      <c r="C28" s="29"/>
      <c r="F28" s="27"/>
    </row>
    <row r="29" customFormat="false" ht="38.25" hidden="false" customHeight="false" outlineLevel="0" collapsed="false">
      <c r="B29" s="28"/>
      <c r="C29" s="41" t="s">
        <v>43</v>
      </c>
      <c r="D29" s="42" t="s">
        <v>44</v>
      </c>
      <c r="E29" s="17" t="s">
        <v>45</v>
      </c>
      <c r="F29" s="27"/>
    </row>
    <row r="30" customFormat="false" ht="12.75" hidden="false" customHeight="false" outlineLevel="0" collapsed="false">
      <c r="B30" s="34" t="s">
        <v>46</v>
      </c>
      <c r="C30" s="43" t="n">
        <f aca="false">C20</f>
        <v>0</v>
      </c>
      <c r="D30" s="43" t="n">
        <f aca="false">C21</f>
        <v>0</v>
      </c>
      <c r="E30" s="44" t="n">
        <f aca="false">D30+C30</f>
        <v>0</v>
      </c>
      <c r="F30" s="27"/>
    </row>
    <row r="31" customFormat="false" ht="12.75" hidden="false" customHeight="false" outlineLevel="0" collapsed="false">
      <c r="B31" s="34" t="s">
        <v>39</v>
      </c>
      <c r="C31" s="45"/>
      <c r="D31" s="45"/>
      <c r="E31" s="45"/>
      <c r="F31" s="27"/>
    </row>
    <row r="32" customFormat="false" ht="12.75" hidden="false" customHeight="false" outlineLevel="0" collapsed="false">
      <c r="B32" s="36" t="s">
        <v>40</v>
      </c>
      <c r="C32" s="45" t="str">
        <f aca="false">IF(G43="","",E32*(G43-E25)/G43)</f>
        <v/>
      </c>
      <c r="D32" s="45" t="str">
        <f aca="false">IF(G43="","",E32-C32)</f>
        <v/>
      </c>
      <c r="E32" s="45" t="n">
        <f aca="false">(1-F25)*C25</f>
        <v>0</v>
      </c>
      <c r="F32" s="27"/>
    </row>
    <row r="33" customFormat="false" ht="12.75" hidden="false" customHeight="false" outlineLevel="0" collapsed="false">
      <c r="B33" s="36" t="s">
        <v>41</v>
      </c>
      <c r="C33" s="45" t="str">
        <f aca="false">IF(G43="","",E33*(G43-E26)/G43)</f>
        <v/>
      </c>
      <c r="D33" s="45" t="str">
        <f aca="false">IF(G43="","",E33-C33)</f>
        <v/>
      </c>
      <c r="E33" s="45" t="n">
        <f aca="false">(1-F26)*C26</f>
        <v>0</v>
      </c>
      <c r="F33" s="27"/>
    </row>
    <row r="34" customFormat="false" ht="12.75" hidden="false" customHeight="false" outlineLevel="0" collapsed="false">
      <c r="B34" s="36" t="s">
        <v>42</v>
      </c>
      <c r="C34" s="45" t="str">
        <f aca="false">IF(G43="","",E34*(G43-E27)/G43)</f>
        <v/>
      </c>
      <c r="D34" s="45" t="str">
        <f aca="false">IF(G43="","",E34-C34)</f>
        <v/>
      </c>
      <c r="E34" s="45" t="n">
        <f aca="false">(1-F27)*C27</f>
        <v>0</v>
      </c>
      <c r="F34" s="27"/>
    </row>
    <row r="35" customFormat="false" ht="12.75" hidden="false" customHeight="false" outlineLevel="0" collapsed="false">
      <c r="B35" s="34" t="s">
        <v>33</v>
      </c>
      <c r="C35" s="43" t="str">
        <f aca="false">IF(G43="","",C30+C32+C33+C34)</f>
        <v/>
      </c>
      <c r="D35" s="43" t="str">
        <f aca="false">IF(G43="","",D30+D32+D33+D34)</f>
        <v/>
      </c>
      <c r="E35" s="44" t="e">
        <f aca="false">D35+C35</f>
        <v>#VALUE!</v>
      </c>
      <c r="F35" s="46"/>
    </row>
    <row r="36" customFormat="false" ht="12.75" hidden="false" customHeight="false" outlineLevel="0" collapsed="false">
      <c r="C36" s="4"/>
      <c r="D36" s="47"/>
      <c r="F36" s="48"/>
    </row>
    <row r="37" customFormat="false" ht="12.75" hidden="false" customHeight="false" outlineLevel="0" collapsed="false">
      <c r="B37" s="49" t="s">
        <v>47</v>
      </c>
      <c r="C37" s="49"/>
      <c r="D37" s="49"/>
      <c r="E37" s="49"/>
      <c r="F37" s="49" t="s">
        <v>48</v>
      </c>
      <c r="G37" s="49"/>
    </row>
    <row r="38" customFormat="false" ht="12.75" hidden="false" customHeight="false" outlineLevel="0" collapsed="false">
      <c r="D38" s="17" t="s">
        <v>49</v>
      </c>
      <c r="E38" s="17" t="s">
        <v>50</v>
      </c>
      <c r="G38" s="17" t="s">
        <v>51</v>
      </c>
    </row>
    <row r="39" customFormat="false" ht="12.75" hidden="false" customHeight="false" outlineLevel="0" collapsed="false">
      <c r="B39" s="31" t="s">
        <v>52</v>
      </c>
      <c r="C39" s="50" t="str">
        <f aca="false">IF(C14="RAT","Essieu 1",IF(C14="REC","Tête",""))</f>
        <v/>
      </c>
      <c r="D39" s="18"/>
      <c r="E39" s="51" t="n">
        <f aca="false">D39</f>
        <v>0</v>
      </c>
    </row>
    <row r="40" customFormat="false" ht="12.75" hidden="false" customHeight="false" outlineLevel="0" collapsed="false">
      <c r="B40" s="52" t="s">
        <v>53</v>
      </c>
      <c r="C40" s="53" t="str">
        <f aca="false">IF(C14="RAT","Essieu 2",IF(C14="REC","Essieu 1",""))</f>
        <v/>
      </c>
      <c r="D40" s="54"/>
      <c r="E40" s="55" t="n">
        <f aca="false">MIN(D40+D41+D42,D15)</f>
        <v>0</v>
      </c>
      <c r="F40" s="14" t="str">
        <f aca="false">IF(C14="RAT","1-2 : Essieu 1 à essieu 2",IF(C14="REC","0-1 :Tête à essieu 1",""))</f>
        <v/>
      </c>
      <c r="G40" s="19"/>
    </row>
    <row r="41" customFormat="false" ht="12.75" hidden="false" customHeight="false" outlineLevel="0" collapsed="false">
      <c r="B41" s="52"/>
      <c r="C41" s="53" t="str">
        <f aca="false">IF(C14="RAT","Essieu 3",IF(C14="REC","Essieu 2",""))</f>
        <v/>
      </c>
      <c r="D41" s="18"/>
      <c r="E41" s="55"/>
      <c r="F41" s="0" t="str">
        <f aca="false">IF(C14="RAT","2-3 : Essieu 2 à essieu 3",IF(C14="REC","1-2 : Essieu 1 à essieu 2",""))</f>
        <v/>
      </c>
      <c r="G41" s="39"/>
    </row>
    <row r="42" customFormat="false" ht="12.75" hidden="false" customHeight="false" outlineLevel="0" collapsed="false">
      <c r="B42" s="52"/>
      <c r="C42" s="53" t="str">
        <f aca="false">IF(C14="RAT","Essieu 4",IF(C14="REC","Essieu 3",""))</f>
        <v/>
      </c>
      <c r="D42" s="56"/>
      <c r="E42" s="55"/>
      <c r="F42" s="57" t="str">
        <f aca="false">IF(C14="RAT","3-4 : Essieu 3 à essieu 4",IF(C14="REC","2-3 : Essieu 2 à essieu 3",""))</f>
        <v/>
      </c>
      <c r="G42" s="58"/>
    </row>
    <row r="43" customFormat="false" ht="12.75" hidden="false" customHeight="false" outlineLevel="0" collapsed="false">
      <c r="F43" s="59" t="s">
        <v>54</v>
      </c>
      <c r="G43" s="60" t="str">
        <f aca="false">IF(ISBLANK(D15),"",G40+(G41*D41+(G41+G42)*D42)/(D42+D40+D41))</f>
        <v/>
      </c>
    </row>
    <row r="44" customFormat="false" ht="12.75" hidden="false" customHeight="false" outlineLevel="0" collapsed="false">
      <c r="F44" s="61"/>
      <c r="G44" s="62"/>
    </row>
    <row r="45" customFormat="false" ht="12.75" hidden="false" customHeight="false" outlineLevel="0" collapsed="false">
      <c r="B45" s="49" t="s">
        <v>55</v>
      </c>
      <c r="C45" s="49"/>
      <c r="D45" s="49"/>
      <c r="F45" s="61"/>
      <c r="G45" s="62"/>
    </row>
    <row r="46" customFormat="false" ht="12.75" hidden="false" customHeight="false" outlineLevel="0" collapsed="false">
      <c r="B46" s="63" t="s">
        <v>56</v>
      </c>
      <c r="C46" s="17"/>
      <c r="D46" s="39"/>
    </row>
    <row r="47" customFormat="false" ht="12.75" hidden="false" customHeight="false" outlineLevel="0" collapsed="false">
      <c r="B47" s="63" t="s">
        <v>57</v>
      </c>
      <c r="C47" s="17"/>
      <c r="D47" s="39"/>
    </row>
    <row r="48" customFormat="false" ht="12.75" hidden="false" customHeight="false" outlineLevel="0" collapsed="false">
      <c r="B48" s="14" t="s">
        <v>58</v>
      </c>
      <c r="C48" s="14"/>
      <c r="D48" s="64" t="e">
        <f aca="false">D47+G42+G41-C99</f>
        <v>#DIV/0!</v>
      </c>
    </row>
    <row r="49" customFormat="false" ht="12.75" hidden="false" customHeight="false" outlineLevel="0" collapsed="false">
      <c r="B49" s="63" t="s">
        <v>59</v>
      </c>
      <c r="C49" s="63"/>
      <c r="D49" s="64" t="e">
        <f aca="false">D46/2-D48</f>
        <v>#DIV/0!</v>
      </c>
    </row>
    <row r="50" customFormat="false" ht="12.75" hidden="false" customHeight="false" outlineLevel="0" collapsed="false">
      <c r="B50" s="65"/>
      <c r="C50" s="4"/>
      <c r="D50" s="24"/>
    </row>
    <row r="51" customFormat="false" ht="12.75" hidden="false" customHeight="false" outlineLevel="0" collapsed="false">
      <c r="B51" s="49" t="s">
        <v>60</v>
      </c>
      <c r="C51" s="49"/>
      <c r="D51" s="49"/>
    </row>
    <row r="52" customFormat="false" ht="12.75" hidden="false" customHeight="false" outlineLevel="0" collapsed="false">
      <c r="B52" s="49"/>
      <c r="C52" s="49"/>
      <c r="D52" s="50" t="e">
        <f aca="false">"Charge utile à répartir : "&amp;ROUND(C89,0)&amp;" kg"</f>
        <v>#VALUE!</v>
      </c>
    </row>
    <row r="53" customFormat="false" ht="12.75" hidden="false" customHeight="false" outlineLevel="0" collapsed="false">
      <c r="B53" s="49"/>
      <c r="C53" s="49"/>
      <c r="D53" s="50" t="e">
        <f aca="false">"Charge utile restante à répartir : "&amp;ROUND(C89-SUM(D55:D85),0)&amp;" kg"</f>
        <v>#VALUE!</v>
      </c>
    </row>
    <row r="54" customFormat="false" ht="38.25" hidden="false" customHeight="false" outlineLevel="0" collapsed="false">
      <c r="B54" s="66" t="s">
        <v>61</v>
      </c>
      <c r="C54" s="32" t="s">
        <v>62</v>
      </c>
      <c r="D54" s="32" t="s">
        <v>63</v>
      </c>
      <c r="E54" s="67"/>
    </row>
    <row r="55" customFormat="false" ht="12.75" hidden="false" customHeight="false" outlineLevel="0" collapsed="false">
      <c r="B55" s="63" t="s">
        <v>64</v>
      </c>
      <c r="C55" s="68" t="e">
        <f aca="false">G43-D49</f>
        <v>#VALUE!</v>
      </c>
      <c r="D55" s="69"/>
      <c r="E55" s="67"/>
    </row>
    <row r="56" customFormat="false" ht="12.75" hidden="false" customHeight="false" outlineLevel="0" collapsed="false">
      <c r="B56" s="70" t="s">
        <v>65</v>
      </c>
      <c r="C56" s="71"/>
      <c r="D56" s="69"/>
      <c r="E56" s="72"/>
    </row>
    <row r="57" customFormat="false" ht="12.75" hidden="false" customHeight="false" outlineLevel="0" collapsed="false">
      <c r="B57" s="70" t="s">
        <v>66</v>
      </c>
      <c r="C57" s="71"/>
      <c r="D57" s="69"/>
      <c r="E57" s="72"/>
    </row>
    <row r="58" customFormat="false" ht="12.75" hidden="false" customHeight="false" outlineLevel="0" collapsed="false">
      <c r="B58" s="70" t="s">
        <v>67</v>
      </c>
      <c r="C58" s="71"/>
      <c r="D58" s="69"/>
      <c r="E58" s="72"/>
    </row>
    <row r="59" customFormat="false" ht="12.75" hidden="false" customHeight="false" outlineLevel="0" collapsed="false">
      <c r="B59" s="70" t="s">
        <v>68</v>
      </c>
      <c r="C59" s="71"/>
      <c r="D59" s="69"/>
      <c r="E59" s="72"/>
    </row>
    <row r="60" customFormat="false" ht="12.75" hidden="false" customHeight="false" outlineLevel="0" collapsed="false">
      <c r="B60" s="70" t="s">
        <v>69</v>
      </c>
      <c r="C60" s="71"/>
      <c r="D60" s="69"/>
      <c r="E60" s="72"/>
    </row>
    <row r="61" customFormat="false" ht="12.75" hidden="false" customHeight="false" outlineLevel="0" collapsed="false">
      <c r="B61" s="70" t="s">
        <v>70</v>
      </c>
      <c r="C61" s="71"/>
      <c r="D61" s="69"/>
      <c r="E61" s="72"/>
    </row>
    <row r="62" customFormat="false" ht="12.75" hidden="false" customHeight="false" outlineLevel="0" collapsed="false">
      <c r="B62" s="70" t="s">
        <v>71</v>
      </c>
      <c r="C62" s="71"/>
      <c r="D62" s="69"/>
      <c r="E62" s="72"/>
    </row>
    <row r="63" customFormat="false" ht="12.75" hidden="false" customHeight="false" outlineLevel="0" collapsed="false">
      <c r="B63" s="70" t="s">
        <v>72</v>
      </c>
      <c r="C63" s="71"/>
      <c r="D63" s="69"/>
      <c r="E63" s="72"/>
    </row>
    <row r="64" customFormat="false" ht="12.75" hidden="false" customHeight="false" outlineLevel="0" collapsed="false">
      <c r="B64" s="70" t="s">
        <v>73</v>
      </c>
      <c r="C64" s="71"/>
      <c r="D64" s="69"/>
      <c r="E64" s="72"/>
    </row>
    <row r="65" customFormat="false" ht="12.75" hidden="false" customHeight="false" outlineLevel="0" collapsed="false">
      <c r="B65" s="70" t="s">
        <v>74</v>
      </c>
      <c r="C65" s="71"/>
      <c r="D65" s="69"/>
      <c r="E65" s="72"/>
    </row>
    <row r="66" customFormat="false" ht="12.75" hidden="false" customHeight="false" outlineLevel="0" collapsed="false">
      <c r="B66" s="70" t="s">
        <v>75</v>
      </c>
      <c r="C66" s="71"/>
      <c r="D66" s="69"/>
      <c r="E66" s="72"/>
    </row>
    <row r="67" customFormat="false" ht="12.75" hidden="false" customHeight="false" outlineLevel="0" collapsed="false">
      <c r="B67" s="70" t="s">
        <v>76</v>
      </c>
      <c r="C67" s="71"/>
      <c r="D67" s="69"/>
      <c r="E67" s="72"/>
    </row>
    <row r="68" customFormat="false" ht="12.75" hidden="false" customHeight="false" outlineLevel="0" collapsed="false">
      <c r="B68" s="70" t="s">
        <v>77</v>
      </c>
      <c r="C68" s="71"/>
      <c r="D68" s="69"/>
      <c r="E68" s="72"/>
    </row>
    <row r="69" customFormat="false" ht="12.75" hidden="false" customHeight="false" outlineLevel="0" collapsed="false">
      <c r="B69" s="70" t="s">
        <v>78</v>
      </c>
      <c r="C69" s="71"/>
      <c r="D69" s="69"/>
      <c r="E69" s="72"/>
    </row>
    <row r="70" customFormat="false" ht="12.75" hidden="false" customHeight="false" outlineLevel="0" collapsed="false">
      <c r="B70" s="70" t="s">
        <v>79</v>
      </c>
      <c r="C70" s="71"/>
      <c r="D70" s="69"/>
      <c r="E70" s="72"/>
    </row>
    <row r="71" customFormat="false" ht="12.75" hidden="false" customHeight="false" outlineLevel="0" collapsed="false">
      <c r="B71" s="70" t="s">
        <v>80</v>
      </c>
      <c r="C71" s="71"/>
      <c r="D71" s="69"/>
      <c r="E71" s="72"/>
    </row>
    <row r="72" customFormat="false" ht="12.75" hidden="false" customHeight="false" outlineLevel="0" collapsed="false">
      <c r="B72" s="70" t="s">
        <v>81</v>
      </c>
      <c r="C72" s="71"/>
      <c r="D72" s="69"/>
      <c r="E72" s="72"/>
    </row>
    <row r="73" customFormat="false" ht="12.75" hidden="false" customHeight="false" outlineLevel="0" collapsed="false">
      <c r="B73" s="70" t="s">
        <v>82</v>
      </c>
      <c r="C73" s="71"/>
      <c r="D73" s="69"/>
      <c r="E73" s="72"/>
    </row>
    <row r="74" customFormat="false" ht="12.75" hidden="false" customHeight="false" outlineLevel="0" collapsed="false">
      <c r="B74" s="70" t="s">
        <v>83</v>
      </c>
      <c r="C74" s="71"/>
      <c r="D74" s="69"/>
      <c r="E74" s="72"/>
    </row>
    <row r="75" customFormat="false" ht="12.75" hidden="false" customHeight="false" outlineLevel="0" collapsed="false">
      <c r="B75" s="70" t="s">
        <v>84</v>
      </c>
      <c r="C75" s="71"/>
      <c r="D75" s="69"/>
      <c r="E75" s="72"/>
    </row>
    <row r="76" customFormat="false" ht="12.75" hidden="false" customHeight="false" outlineLevel="0" collapsed="false">
      <c r="B76" s="70" t="s">
        <v>85</v>
      </c>
      <c r="C76" s="71"/>
      <c r="D76" s="69"/>
      <c r="E76" s="72"/>
    </row>
    <row r="77" customFormat="false" ht="12.75" hidden="false" customHeight="false" outlineLevel="0" collapsed="false">
      <c r="B77" s="70" t="s">
        <v>86</v>
      </c>
      <c r="C77" s="71"/>
      <c r="D77" s="69"/>
      <c r="E77" s="72"/>
    </row>
    <row r="78" customFormat="false" ht="12.75" hidden="false" customHeight="false" outlineLevel="0" collapsed="false">
      <c r="B78" s="70" t="s">
        <v>87</v>
      </c>
      <c r="C78" s="71"/>
      <c r="D78" s="69"/>
      <c r="E78" s="72"/>
    </row>
    <row r="79" customFormat="false" ht="12.75" hidden="false" customHeight="false" outlineLevel="0" collapsed="false">
      <c r="B79" s="70" t="s">
        <v>88</v>
      </c>
      <c r="C79" s="71"/>
      <c r="D79" s="69"/>
      <c r="E79" s="72"/>
    </row>
    <row r="80" customFormat="false" ht="12.75" hidden="false" customHeight="false" outlineLevel="0" collapsed="false">
      <c r="B80" s="70" t="s">
        <v>89</v>
      </c>
      <c r="C80" s="71"/>
      <c r="D80" s="69"/>
      <c r="E80" s="72"/>
    </row>
    <row r="81" customFormat="false" ht="12.75" hidden="false" customHeight="false" outlineLevel="0" collapsed="false">
      <c r="B81" s="70" t="s">
        <v>90</v>
      </c>
      <c r="C81" s="71"/>
      <c r="D81" s="69"/>
      <c r="E81" s="72"/>
    </row>
    <row r="82" customFormat="false" ht="12.75" hidden="false" customHeight="false" outlineLevel="0" collapsed="false">
      <c r="B82" s="70" t="s">
        <v>91</v>
      </c>
      <c r="C82" s="71"/>
      <c r="D82" s="69"/>
      <c r="E82" s="72"/>
    </row>
    <row r="83" customFormat="false" ht="12.75" hidden="false" customHeight="false" outlineLevel="0" collapsed="false">
      <c r="B83" s="70" t="s">
        <v>40</v>
      </c>
      <c r="C83" s="71"/>
      <c r="D83" s="69"/>
      <c r="E83" s="72"/>
    </row>
    <row r="84" customFormat="false" ht="12.75" hidden="false" customHeight="false" outlineLevel="0" collapsed="false">
      <c r="B84" s="70" t="s">
        <v>41</v>
      </c>
      <c r="C84" s="71"/>
      <c r="D84" s="69"/>
      <c r="E84" s="72"/>
    </row>
    <row r="85" customFormat="false" ht="12.75" hidden="false" customHeight="false" outlineLevel="0" collapsed="false">
      <c r="B85" s="70" t="s">
        <v>42</v>
      </c>
      <c r="C85" s="71"/>
      <c r="D85" s="69"/>
      <c r="E85" s="72"/>
    </row>
    <row r="87" customFormat="false" ht="12.75" hidden="false" customHeight="false" outlineLevel="0" collapsed="false">
      <c r="B87" s="49" t="s">
        <v>92</v>
      </c>
      <c r="C87" s="49"/>
      <c r="D87" s="49"/>
    </row>
    <row r="88" customFormat="false" ht="12.75" hidden="false" customHeight="false" outlineLevel="0" collapsed="false">
      <c r="B88" s="49"/>
      <c r="C88" s="73" t="s">
        <v>93</v>
      </c>
      <c r="D88" s="70" t="s">
        <v>94</v>
      </c>
    </row>
    <row r="89" customFormat="false" ht="12.75" hidden="false" customHeight="false" outlineLevel="0" collapsed="false">
      <c r="B89" s="52" t="s">
        <v>95</v>
      </c>
      <c r="C89" s="16" t="e">
        <f aca="false">D15-C35-D35</f>
        <v>#VALUE!</v>
      </c>
      <c r="D89" s="74" t="n">
        <f aca="false">10*(D16+D17)</f>
        <v>0</v>
      </c>
    </row>
    <row r="91" customFormat="false" ht="38.25" hidden="false" customHeight="false" outlineLevel="0" collapsed="false">
      <c r="C91" s="75" t="s">
        <v>96</v>
      </c>
      <c r="D91" s="76" t="s">
        <v>44</v>
      </c>
      <c r="E91" s="77" t="s">
        <v>45</v>
      </c>
    </row>
    <row r="92" customFormat="false" ht="12.75" hidden="false" customHeight="false" outlineLevel="0" collapsed="false">
      <c r="B92" s="14" t="s">
        <v>97</v>
      </c>
      <c r="C92" s="16" t="str">
        <f aca="false">C35</f>
        <v/>
      </c>
      <c r="D92" s="16" t="str">
        <f aca="false">D35</f>
        <v/>
      </c>
      <c r="E92" s="16" t="e">
        <f aca="false">E35</f>
        <v>#VALUE!</v>
      </c>
    </row>
    <row r="93" customFormat="false" ht="12.75" hidden="false" customHeight="false" outlineLevel="0" collapsed="false">
      <c r="B93" s="14" t="s">
        <v>98</v>
      </c>
      <c r="C93" s="16" t="e">
        <f aca="false">SUMPRODUCT(G43-C55:C85,D55:D85)/G43</f>
        <v>#VALUE!</v>
      </c>
      <c r="D93" s="16" t="e">
        <f aca="false">SUMPRODUCT(C55:C85,D55:D85)/G43</f>
        <v>#VALUE!</v>
      </c>
      <c r="E93" s="16" t="e">
        <f aca="false">D93+C93</f>
        <v>#VALUE!</v>
      </c>
    </row>
    <row r="94" customFormat="false" ht="12.75" hidden="false" customHeight="false" outlineLevel="0" collapsed="false">
      <c r="B94" s="78" t="s">
        <v>99</v>
      </c>
      <c r="C94" s="79" t="e">
        <f aca="false">SUM(C92:C93)</f>
        <v>#VALUE!</v>
      </c>
      <c r="D94" s="79" t="e">
        <f aca="false">SUM(D92:D93)</f>
        <v>#VALUE!</v>
      </c>
      <c r="E94" s="79" t="e">
        <f aca="false">SUM(E92:E93)</f>
        <v>#VALUE!</v>
      </c>
    </row>
    <row r="95" customFormat="false" ht="12.75" hidden="false" customHeight="false" outlineLevel="0" collapsed="false">
      <c r="B95" s="78" t="s">
        <v>100</v>
      </c>
      <c r="C95" s="79" t="n">
        <f aca="false">E39</f>
        <v>0</v>
      </c>
      <c r="D95" s="79" t="n">
        <f aca="false">E40</f>
        <v>0</v>
      </c>
      <c r="E95" s="79" t="n">
        <f aca="false">D15</f>
        <v>0</v>
      </c>
    </row>
    <row r="98" customFormat="false" ht="12.75" hidden="true" customHeight="false" outlineLevel="0" collapsed="false">
      <c r="B98" s="0" t="s">
        <v>101</v>
      </c>
      <c r="C98" s="0" t="e">
        <f aca="false">D41/(D40+D41)*G41</f>
        <v>#DIV/0!</v>
      </c>
    </row>
    <row r="99" customFormat="false" ht="12.75" hidden="true" customHeight="false" outlineLevel="0" collapsed="false">
      <c r="B99" s="0" t="s">
        <v>102</v>
      </c>
      <c r="C99" s="0" t="e">
        <f aca="false">D42/SUM(D40:D42)*(G41+G42-C98)+C98</f>
        <v>#DIV/0!</v>
      </c>
    </row>
    <row r="100" customFormat="false" ht="12.75" hidden="true" customHeight="false" outlineLevel="0" collapsed="false">
      <c r="B100" s="0" t="s">
        <v>103</v>
      </c>
      <c r="C100" s="0" t="e">
        <f aca="false">G40+C99</f>
        <v>#DIV/0!</v>
      </c>
    </row>
  </sheetData>
  <sheetProtection algorithmName="SHA-512" hashValue="HqkXebArEths0dYB7LAxFLIwNZbe/nM/bDSKg6a90sCGicCdOqmX/VxGSXobTcYPhxW/wXxzNXONI5x+vm4/lw==" saltValue="mWA7OJHn+y4mAQ3Vm9yULA==" spinCount="100000" sheet="true" objects="true" scenarios="true"/>
  <mergeCells count="21">
    <mergeCell ref="A1:H1"/>
    <mergeCell ref="C5:D5"/>
    <mergeCell ref="C6:D6"/>
    <mergeCell ref="C7:D7"/>
    <mergeCell ref="C8:D8"/>
    <mergeCell ref="C9:D9"/>
    <mergeCell ref="C10:D10"/>
    <mergeCell ref="C11:D11"/>
    <mergeCell ref="C12:D12"/>
    <mergeCell ref="B19:F19"/>
    <mergeCell ref="C24:F24"/>
    <mergeCell ref="C31:E31"/>
    <mergeCell ref="B37:E37"/>
    <mergeCell ref="F37:G37"/>
    <mergeCell ref="B40:B42"/>
    <mergeCell ref="E40:E42"/>
    <mergeCell ref="B45:D45"/>
    <mergeCell ref="B49:C49"/>
    <mergeCell ref="B51:D51"/>
    <mergeCell ref="B52:C53"/>
    <mergeCell ref="B87:D87"/>
  </mergeCells>
  <conditionalFormatting sqref="B89:D89">
    <cfRule type="expression" priority="2" aboveAverage="0" equalAverage="0" bottom="0" percent="0" rank="0" text="" dxfId="0">
      <formula>$C89&gt;=$D89</formula>
    </cfRule>
    <cfRule type="expression" priority="3" aboveAverage="0" equalAverage="0" bottom="0" percent="0" rank="0" text="" dxfId="1">
      <formula>$C89&lt;$D89</formula>
    </cfRule>
  </conditionalFormatting>
  <conditionalFormatting sqref="C94:E94">
    <cfRule type="cellIs" priority="4" operator="lessThanOrEqual" aboveAverage="0" equalAverage="0" bottom="0" percent="0" rank="0" text="" dxfId="2">
      <formula>C95+1</formula>
    </cfRule>
    <cfRule type="cellIs" priority="5" operator="greaterThan" aboveAverage="0" equalAverage="0" bottom="0" percent="0" rank="0" text="" dxfId="3">
      <formula>C95+1</formula>
    </cfRule>
  </conditionalFormatting>
  <conditionalFormatting sqref="D53">
    <cfRule type="expression" priority="6" aboveAverage="0" equalAverage="0" bottom="0" percent="0" rank="0" text="" dxfId="4">
      <formula>SUM(D55:D85)&lt;&gt;C89</formula>
    </cfRule>
    <cfRule type="expression" priority="7" aboveAverage="0" equalAverage="0" bottom="0" percent="0" rank="0" text="" dxfId="5">
      <formula>SUM(D55:D85)=C89</formula>
    </cfRule>
  </conditionalFormatting>
  <dataValidations count="1">
    <dataValidation allowBlank="true" errorStyle="stop" operator="equal" showDropDown="false" showErrorMessage="true" showInputMessage="false" sqref="C14" type="list">
      <formula1>",REC,RAT"</formula1>
      <formula2>0</formula2>
    </dataValidation>
  </dataValidation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H362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G46" activeCellId="0" sqref="G46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0" width="3.14"/>
    <col collapsed="false" customWidth="true" hidden="false" outlineLevel="0" max="2" min="2" style="0" width="47.43"/>
    <col collapsed="false" customWidth="true" hidden="false" outlineLevel="0" max="3" min="3" style="0" width="19.71"/>
    <col collapsed="false" customWidth="true" hidden="false" outlineLevel="0" max="4" min="4" style="0" width="36.14"/>
    <col collapsed="false" customWidth="true" hidden="false" outlineLevel="0" max="5" min="5" style="0" width="33.71"/>
    <col collapsed="false" customWidth="true" hidden="false" outlineLevel="0" max="6" min="6" style="0" width="27.29"/>
    <col collapsed="false" customWidth="true" hidden="false" outlineLevel="0" max="7" min="7" style="0" width="19.99"/>
    <col collapsed="false" customWidth="true" hidden="false" outlineLevel="0" max="8" min="8" style="0" width="4.14"/>
    <col collapsed="false" customWidth="true" hidden="true" outlineLevel="0" max="9" min="9" style="0" width="22.14"/>
    <col collapsed="false" customWidth="true" hidden="true" outlineLevel="0" max="10" min="10" style="0" width="18"/>
  </cols>
  <sheetData>
    <row r="1" customFormat="false" ht="40.5" hidden="false" customHeight="true" outlineLevel="0" collapsed="false">
      <c r="A1" s="9" t="s">
        <v>104</v>
      </c>
      <c r="B1" s="9"/>
      <c r="C1" s="9"/>
      <c r="D1" s="9"/>
      <c r="E1" s="9"/>
      <c r="F1" s="9"/>
      <c r="G1" s="9"/>
      <c r="H1" s="9"/>
    </row>
    <row r="5" customFormat="false" ht="12.75" hidden="false" customHeight="false" outlineLevel="0" collapsed="false">
      <c r="B5" s="0" t="s">
        <v>15</v>
      </c>
      <c r="C5" s="10"/>
      <c r="D5" s="10"/>
    </row>
    <row r="6" customFormat="false" ht="12.75" hidden="false" customHeight="false" outlineLevel="0" collapsed="false">
      <c r="B6" s="0" t="s">
        <v>16</v>
      </c>
      <c r="C6" s="10"/>
      <c r="D6" s="10"/>
    </row>
    <row r="7" customFormat="false" ht="12.75" hidden="false" customHeight="false" outlineLevel="0" collapsed="false">
      <c r="B7" s="0" t="s">
        <v>105</v>
      </c>
      <c r="C7" s="10"/>
      <c r="D7" s="10"/>
    </row>
    <row r="8" customFormat="false" ht="12.75" hidden="false" customHeight="false" outlineLevel="0" collapsed="false">
      <c r="B8" s="0" t="s">
        <v>106</v>
      </c>
      <c r="C8" s="10"/>
      <c r="D8" s="10"/>
    </row>
    <row r="9" customFormat="false" ht="12.75" hidden="false" customHeight="false" outlineLevel="0" collapsed="false">
      <c r="B9" s="0" t="s">
        <v>107</v>
      </c>
      <c r="C9" s="10"/>
      <c r="D9" s="10"/>
    </row>
    <row r="10" customFormat="false" ht="12.75" hidden="false" customHeight="false" outlineLevel="0" collapsed="false">
      <c r="B10" s="0" t="s">
        <v>108</v>
      </c>
      <c r="C10" s="11"/>
      <c r="D10" s="11"/>
    </row>
    <row r="11" customFormat="false" ht="12.75" hidden="false" customHeight="false" outlineLevel="0" collapsed="false">
      <c r="B11" s="0" t="s">
        <v>21</v>
      </c>
      <c r="C11" s="11"/>
      <c r="D11" s="11"/>
    </row>
    <row r="12" customFormat="false" ht="32.25" hidden="false" customHeight="true" outlineLevel="0" collapsed="false">
      <c r="B12" s="12" t="s">
        <v>22</v>
      </c>
      <c r="C12" s="80"/>
      <c r="D12" s="80"/>
    </row>
    <row r="14" customFormat="false" ht="12.75" hidden="false" customHeight="false" outlineLevel="0" collapsed="false">
      <c r="B14" s="81"/>
      <c r="C14" s="81"/>
      <c r="D14" s="81"/>
    </row>
    <row r="15" customFormat="false" ht="12.75" hidden="false" customHeight="false" outlineLevel="0" collapsed="false">
      <c r="B15" s="14" t="s">
        <v>109</v>
      </c>
      <c r="C15" s="17" t="s">
        <v>110</v>
      </c>
      <c r="D15" s="82"/>
    </row>
    <row r="16" customFormat="false" ht="12.75" hidden="false" customHeight="false" outlineLevel="0" collapsed="false">
      <c r="B16" s="14" t="s">
        <v>25</v>
      </c>
      <c r="C16" s="17" t="s">
        <v>26</v>
      </c>
      <c r="D16" s="82"/>
    </row>
    <row r="17" customFormat="false" ht="12.75" hidden="false" customHeight="false" outlineLevel="0" collapsed="false">
      <c r="B17" s="20" t="s">
        <v>111</v>
      </c>
      <c r="C17" s="17" t="s">
        <v>29</v>
      </c>
      <c r="D17" s="83"/>
    </row>
    <row r="18" customFormat="false" ht="12.75" hidden="false" customHeight="false" outlineLevel="0" collapsed="false">
      <c r="B18" s="20" t="s">
        <v>27</v>
      </c>
      <c r="C18" s="17" t="s">
        <v>31</v>
      </c>
      <c r="D18" s="84"/>
    </row>
    <row r="19" customFormat="false" ht="12.75" hidden="false" customHeight="false" outlineLevel="0" collapsed="false">
      <c r="C19" s="4"/>
      <c r="D19" s="24"/>
    </row>
    <row r="20" customFormat="false" ht="12.75" hidden="false" customHeight="false" outlineLevel="0" collapsed="false">
      <c r="B20" s="25" t="s">
        <v>112</v>
      </c>
      <c r="C20" s="25"/>
      <c r="D20" s="25"/>
      <c r="E20" s="25"/>
      <c r="F20" s="25"/>
    </row>
    <row r="21" customFormat="false" ht="12.75" hidden="false" customHeight="false" outlineLevel="0" collapsed="false">
      <c r="B21" s="14" t="s">
        <v>34</v>
      </c>
      <c r="C21" s="85"/>
      <c r="F21" s="27"/>
    </row>
    <row r="22" customFormat="false" ht="12.75" hidden="false" customHeight="false" outlineLevel="0" collapsed="false">
      <c r="B22" s="14" t="s">
        <v>35</v>
      </c>
      <c r="C22" s="85"/>
      <c r="F22" s="27"/>
    </row>
    <row r="23" customFormat="false" ht="12.75" hidden="false" customHeight="false" outlineLevel="0" collapsed="false">
      <c r="B23" s="28"/>
      <c r="C23" s="29"/>
      <c r="F23" s="27"/>
    </row>
    <row r="24" customFormat="false" ht="25.5" hidden="false" customHeight="false" outlineLevel="0" collapsed="false">
      <c r="B24" s="28"/>
      <c r="C24" s="30" t="s">
        <v>36</v>
      </c>
      <c r="D24" s="31" t="s">
        <v>113</v>
      </c>
      <c r="E24" s="32" t="s">
        <v>114</v>
      </c>
      <c r="F24" s="86" t="s">
        <v>38</v>
      </c>
    </row>
    <row r="25" customFormat="false" ht="12.75" hidden="false" customHeight="false" outlineLevel="0" collapsed="false">
      <c r="B25" s="14" t="s">
        <v>115</v>
      </c>
      <c r="C25" s="37"/>
      <c r="D25" s="87" t="n">
        <v>0.84</v>
      </c>
      <c r="E25" s="39"/>
      <c r="F25" s="40"/>
    </row>
    <row r="26" customFormat="false" ht="12.75" hidden="false" customHeight="false" outlineLevel="0" collapsed="false">
      <c r="B26" s="14" t="s">
        <v>116</v>
      </c>
      <c r="C26" s="37"/>
      <c r="D26" s="87" t="n">
        <v>0.51</v>
      </c>
      <c r="E26" s="39"/>
      <c r="F26" s="40"/>
    </row>
    <row r="27" customFormat="false" ht="12.75" hidden="false" customHeight="false" outlineLevel="0" collapsed="false">
      <c r="B27" s="14" t="s">
        <v>117</v>
      </c>
      <c r="C27" s="37"/>
      <c r="D27" s="38" t="n">
        <v>1.09</v>
      </c>
      <c r="E27" s="39"/>
      <c r="F27" s="40"/>
    </row>
    <row r="28" customFormat="false" ht="12.75" hidden="false" customHeight="false" outlineLevel="0" collapsed="false">
      <c r="B28" s="34" t="s">
        <v>118</v>
      </c>
      <c r="C28" s="35"/>
      <c r="D28" s="35"/>
      <c r="E28" s="35"/>
      <c r="F28" s="35"/>
    </row>
    <row r="29" customFormat="false" ht="12.75" hidden="false" customHeight="false" outlineLevel="0" collapsed="false">
      <c r="B29" s="36" t="s">
        <v>40</v>
      </c>
      <c r="C29" s="88"/>
      <c r="D29" s="38"/>
      <c r="E29" s="89"/>
      <c r="F29" s="90"/>
    </row>
    <row r="30" customFormat="false" ht="12.75" hidden="false" customHeight="false" outlineLevel="0" collapsed="false">
      <c r="B30" s="36" t="s">
        <v>41</v>
      </c>
      <c r="C30" s="88"/>
      <c r="D30" s="38"/>
      <c r="E30" s="89"/>
      <c r="F30" s="90"/>
    </row>
    <row r="31" customFormat="false" ht="12.75" hidden="false" customHeight="false" outlineLevel="0" collapsed="false">
      <c r="B31" s="36" t="s">
        <v>42</v>
      </c>
      <c r="C31" s="88"/>
      <c r="D31" s="38"/>
      <c r="E31" s="89"/>
      <c r="F31" s="90"/>
    </row>
    <row r="32" customFormat="false" ht="12.75" hidden="false" customHeight="false" outlineLevel="0" collapsed="false">
      <c r="B32" s="28"/>
      <c r="C32" s="29"/>
      <c r="F32" s="27"/>
    </row>
    <row r="33" customFormat="false" ht="12.75" hidden="false" customHeight="false" outlineLevel="0" collapsed="false">
      <c r="B33" s="28"/>
      <c r="C33" s="17" t="s">
        <v>119</v>
      </c>
      <c r="D33" s="17" t="s">
        <v>120</v>
      </c>
      <c r="E33" s="17" t="s">
        <v>45</v>
      </c>
      <c r="F33" s="27"/>
    </row>
    <row r="34" customFormat="false" ht="12.75" hidden="false" customHeight="false" outlineLevel="0" collapsed="false">
      <c r="B34" s="14" t="s">
        <v>121</v>
      </c>
      <c r="C34" s="45" t="str">
        <f aca="false">IF(G50="","",E34*(G50-E25)/G50)</f>
        <v/>
      </c>
      <c r="D34" s="45" t="str">
        <f aca="false">IF(G50="","",E34-C34)</f>
        <v/>
      </c>
      <c r="E34" s="45" t="n">
        <f aca="false">(0.9-F25)*C25*D25</f>
        <v>0</v>
      </c>
      <c r="F34" s="27"/>
    </row>
    <row r="35" customFormat="false" ht="12.75" hidden="false" customHeight="false" outlineLevel="0" collapsed="false">
      <c r="B35" s="14" t="s">
        <v>122</v>
      </c>
      <c r="C35" s="45" t="str">
        <f aca="false">IF(G50="","",E35*(G50-E26)/G50)</f>
        <v/>
      </c>
      <c r="D35" s="45" t="str">
        <f aca="false">IF(G50="","",E35-C35)</f>
        <v/>
      </c>
      <c r="E35" s="45" t="n">
        <f aca="false">(0.9-F26)*C26*D26</f>
        <v>0</v>
      </c>
      <c r="F35" s="27"/>
    </row>
    <row r="36" customFormat="false" ht="12.75" hidden="false" customHeight="false" outlineLevel="0" collapsed="false">
      <c r="B36" s="14" t="s">
        <v>123</v>
      </c>
      <c r="C36" s="45" t="str">
        <f aca="false">IF(G50="","",E36*(G50-E27)/G50)</f>
        <v/>
      </c>
      <c r="D36" s="45" t="str">
        <f aca="false">IF(G50="","",E36-C36)</f>
        <v/>
      </c>
      <c r="E36" s="45" t="n">
        <f aca="false">(1-F27)*C27*D27</f>
        <v>0</v>
      </c>
      <c r="F36" s="27"/>
    </row>
    <row r="37" customFormat="false" ht="12.75" hidden="false" customHeight="false" outlineLevel="0" collapsed="false">
      <c r="B37" s="34" t="s">
        <v>118</v>
      </c>
      <c r="C37" s="45"/>
      <c r="D37" s="45"/>
      <c r="E37" s="45"/>
      <c r="F37" s="27"/>
    </row>
    <row r="38" customFormat="false" ht="12.75" hidden="false" customHeight="false" outlineLevel="0" collapsed="false">
      <c r="B38" s="36" t="s">
        <v>40</v>
      </c>
      <c r="C38" s="45" t="str">
        <f aca="false">IF(G50="","",E38*(G50-E29)/G50)</f>
        <v/>
      </c>
      <c r="D38" s="45" t="str">
        <f aca="false">IF(G50="","",E38-C38)</f>
        <v/>
      </c>
      <c r="E38" s="45" t="n">
        <f aca="false">(1-F29)*C29*1</f>
        <v>0</v>
      </c>
      <c r="F38" s="27"/>
    </row>
    <row r="39" customFormat="false" ht="12.75" hidden="false" customHeight="false" outlineLevel="0" collapsed="false">
      <c r="B39" s="36" t="s">
        <v>41</v>
      </c>
      <c r="C39" s="45" t="str">
        <f aca="false">IF(G50="","",E39*(G50-E30)/G50)</f>
        <v/>
      </c>
      <c r="D39" s="45" t="str">
        <f aca="false">IF(G50="","",E39-C39)</f>
        <v/>
      </c>
      <c r="E39" s="45" t="n">
        <f aca="false">(1-F30)*C30*1</f>
        <v>0</v>
      </c>
      <c r="F39" s="27"/>
    </row>
    <row r="40" customFormat="false" ht="12.75" hidden="false" customHeight="false" outlineLevel="0" collapsed="false">
      <c r="B40" s="36" t="s">
        <v>42</v>
      </c>
      <c r="C40" s="45" t="str">
        <f aca="false">IF(G50="","",E40*(G50-E31)/G50)</f>
        <v/>
      </c>
      <c r="D40" s="45" t="str">
        <f aca="false">IF(G50="","",E40-C40)</f>
        <v/>
      </c>
      <c r="E40" s="45" t="n">
        <f aca="false">(1-F31)*C31*1</f>
        <v>0</v>
      </c>
      <c r="F40" s="27"/>
    </row>
    <row r="41" customFormat="false" ht="12.75" hidden="false" customHeight="false" outlineLevel="0" collapsed="false">
      <c r="B41" s="34" t="s">
        <v>124</v>
      </c>
      <c r="C41" s="44" t="str">
        <f aca="false">IF(G50="","",C38+C39+C40+C36+C35+C34+C21)</f>
        <v/>
      </c>
      <c r="D41" s="44" t="str">
        <f aca="false">IF(G50="","",D38+D39+D40+D36+D35+D34+C22)</f>
        <v/>
      </c>
      <c r="E41" s="44" t="n">
        <f aca="false">C21+C22+E34+E35+E36+E38+E39+E40</f>
        <v>0</v>
      </c>
      <c r="F41" s="46"/>
    </row>
    <row r="42" customFormat="false" ht="12.75" hidden="false" customHeight="false" outlineLevel="0" collapsed="false">
      <c r="C42" s="4"/>
      <c r="D42" s="24"/>
    </row>
    <row r="43" customFormat="false" ht="12.75" hidden="false" customHeight="false" outlineLevel="0" collapsed="false">
      <c r="B43" s="49" t="s">
        <v>47</v>
      </c>
      <c r="C43" s="49"/>
      <c r="D43" s="49"/>
      <c r="E43" s="49"/>
      <c r="F43" s="49" t="s">
        <v>48</v>
      </c>
      <c r="G43" s="49"/>
    </row>
    <row r="44" customFormat="false" ht="12.75" hidden="false" customHeight="false" outlineLevel="0" collapsed="false">
      <c r="D44" s="17" t="s">
        <v>125</v>
      </c>
      <c r="E44" s="17" t="s">
        <v>50</v>
      </c>
      <c r="G44" s="17" t="s">
        <v>126</v>
      </c>
    </row>
    <row r="45" customFormat="false" ht="12.75" hidden="false" customHeight="false" outlineLevel="0" collapsed="false">
      <c r="B45" s="52" t="s">
        <v>52</v>
      </c>
      <c r="C45" s="50" t="s">
        <v>127</v>
      </c>
      <c r="D45" s="82"/>
      <c r="E45" s="51" t="n">
        <f aca="false">D45+D46</f>
        <v>0</v>
      </c>
    </row>
    <row r="46" customFormat="false" ht="12.75" hidden="false" customHeight="false" outlineLevel="0" collapsed="false">
      <c r="B46" s="52"/>
      <c r="C46" s="0" t="s">
        <v>128</v>
      </c>
      <c r="D46" s="82"/>
      <c r="E46" s="51"/>
      <c r="F46" s="91" t="s">
        <v>129</v>
      </c>
      <c r="G46" s="92"/>
    </row>
    <row r="47" customFormat="false" ht="12.75" hidden="false" customHeight="false" outlineLevel="0" collapsed="false">
      <c r="B47" s="52" t="s">
        <v>53</v>
      </c>
      <c r="C47" s="53" t="s">
        <v>128</v>
      </c>
      <c r="D47" s="93"/>
      <c r="E47" s="55" t="n">
        <f aca="false">D47+D48+D49</f>
        <v>0</v>
      </c>
      <c r="F47" s="57" t="s">
        <v>129</v>
      </c>
      <c r="G47" s="94"/>
    </row>
    <row r="48" customFormat="false" ht="12.75" hidden="false" customHeight="false" outlineLevel="0" collapsed="false">
      <c r="B48" s="52"/>
      <c r="C48" s="14" t="s">
        <v>130</v>
      </c>
      <c r="D48" s="82"/>
      <c r="E48" s="55"/>
      <c r="F48" s="57" t="s">
        <v>131</v>
      </c>
      <c r="G48" s="39"/>
    </row>
    <row r="49" customFormat="false" ht="12.75" hidden="false" customHeight="false" outlineLevel="0" collapsed="false">
      <c r="B49" s="52"/>
      <c r="C49" s="95" t="s">
        <v>132</v>
      </c>
      <c r="D49" s="96"/>
      <c r="E49" s="55"/>
      <c r="F49" s="0" t="s">
        <v>133</v>
      </c>
      <c r="G49" s="58"/>
    </row>
    <row r="50" customFormat="false" ht="12.75" hidden="false" customHeight="false" outlineLevel="0" collapsed="false">
      <c r="F50" s="59" t="s">
        <v>54</v>
      </c>
      <c r="G50" s="60" t="str">
        <f aca="false">IF(ISBLANK(D45),"",G46+G47+(G48*D48+(G48+G49)*D49)/(D47+D48+D49)-(D46/(D45+D46)*G46))</f>
        <v/>
      </c>
    </row>
    <row r="51" customFormat="false" ht="12.75" hidden="false" customHeight="false" outlineLevel="0" collapsed="false">
      <c r="F51" s="61"/>
      <c r="G51" s="62"/>
    </row>
    <row r="52" customFormat="false" ht="12.75" hidden="false" customHeight="false" outlineLevel="0" collapsed="false">
      <c r="B52" s="49" t="s">
        <v>134</v>
      </c>
      <c r="C52" s="49"/>
      <c r="D52" s="49"/>
      <c r="F52" s="61"/>
      <c r="G52" s="62"/>
    </row>
    <row r="53" customFormat="false" ht="25.5" hidden="false" customHeight="false" outlineLevel="0" collapsed="false">
      <c r="B53" s="66" t="s">
        <v>135</v>
      </c>
      <c r="C53" s="32" t="s">
        <v>136</v>
      </c>
      <c r="D53" s="32" t="s">
        <v>137</v>
      </c>
      <c r="E53" s="97"/>
      <c r="F53" s="61"/>
      <c r="G53" s="62"/>
    </row>
    <row r="54" customFormat="false" ht="12.75" hidden="false" customHeight="false" outlineLevel="0" collapsed="false">
      <c r="B54" s="66" t="s">
        <v>138</v>
      </c>
      <c r="C54" s="71"/>
      <c r="D54" s="10"/>
      <c r="F54" s="61"/>
      <c r="G54" s="62"/>
    </row>
    <row r="55" customFormat="false" ht="12.75" hidden="false" customHeight="false" outlineLevel="0" collapsed="false">
      <c r="B55" s="66" t="s">
        <v>139</v>
      </c>
      <c r="C55" s="71"/>
      <c r="D55" s="10"/>
      <c r="F55" s="61"/>
      <c r="G55" s="62"/>
    </row>
    <row r="56" customFormat="false" ht="12.75" hidden="false" customHeight="false" outlineLevel="0" collapsed="false">
      <c r="B56" s="66" t="s">
        <v>140</v>
      </c>
      <c r="C56" s="71"/>
      <c r="D56" s="10"/>
      <c r="F56" s="61"/>
      <c r="G56" s="62"/>
    </row>
    <row r="57" customFormat="false" ht="12.75" hidden="false" customHeight="false" outlineLevel="0" collapsed="false">
      <c r="B57" s="66" t="s">
        <v>141</v>
      </c>
      <c r="C57" s="71"/>
      <c r="D57" s="10"/>
      <c r="F57" s="61"/>
      <c r="G57" s="62"/>
    </row>
    <row r="58" customFormat="false" ht="12.75" hidden="false" customHeight="false" outlineLevel="0" collapsed="false">
      <c r="B58" s="66" t="s">
        <v>142</v>
      </c>
      <c r="C58" s="71"/>
      <c r="D58" s="10"/>
      <c r="F58" s="61"/>
      <c r="G58" s="62"/>
    </row>
    <row r="59" customFormat="false" ht="12.75" hidden="false" customHeight="false" outlineLevel="0" collapsed="false">
      <c r="B59" s="66" t="s">
        <v>143</v>
      </c>
      <c r="C59" s="71"/>
      <c r="D59" s="10"/>
      <c r="F59" s="61"/>
      <c r="G59" s="62"/>
    </row>
    <row r="60" customFormat="false" ht="12.75" hidden="false" customHeight="false" outlineLevel="0" collapsed="false">
      <c r="B60" s="66" t="s">
        <v>144</v>
      </c>
      <c r="C60" s="71"/>
      <c r="D60" s="10"/>
      <c r="F60" s="61"/>
      <c r="G60" s="62"/>
    </row>
    <row r="61" customFormat="false" ht="12.75" hidden="false" customHeight="false" outlineLevel="0" collapsed="false">
      <c r="B61" s="66" t="s">
        <v>145</v>
      </c>
      <c r="C61" s="71"/>
      <c r="D61" s="10"/>
      <c r="F61" s="61"/>
      <c r="G61" s="62"/>
    </row>
    <row r="62" customFormat="false" ht="12.75" hidden="false" customHeight="false" outlineLevel="0" collapsed="false">
      <c r="B62" s="66" t="s">
        <v>146</v>
      </c>
      <c r="C62" s="71"/>
      <c r="D62" s="10"/>
      <c r="F62" s="61"/>
      <c r="G62" s="62"/>
    </row>
    <row r="63" customFormat="false" ht="12.75" hidden="false" customHeight="false" outlineLevel="0" collapsed="false">
      <c r="B63" s="66" t="s">
        <v>147</v>
      </c>
      <c r="C63" s="71"/>
      <c r="D63" s="10"/>
      <c r="F63" s="61"/>
      <c r="G63" s="62"/>
    </row>
    <row r="64" customFormat="false" ht="12.75" hidden="false" customHeight="false" outlineLevel="0" collapsed="false">
      <c r="F64" s="61"/>
      <c r="G64" s="62"/>
    </row>
    <row r="65" customFormat="false" ht="12.75" hidden="false" customHeight="false" outlineLevel="0" collapsed="false">
      <c r="B65" s="49" t="s">
        <v>148</v>
      </c>
      <c r="C65" s="49"/>
      <c r="D65" s="49"/>
      <c r="F65" s="61"/>
      <c r="G65" s="62"/>
    </row>
    <row r="66" customFormat="false" ht="12.75" hidden="false" customHeight="false" outlineLevel="0" collapsed="false">
      <c r="B66" s="14" t="s">
        <v>149</v>
      </c>
      <c r="C66" s="17" t="s">
        <v>150</v>
      </c>
      <c r="D66" s="18"/>
      <c r="E66" s="98" t="str">
        <f aca="false">IF((D66&lt;25),"Impossible de conserver un PTRA : masse maximale au point d'attelage inférieure aux exigences réglementaires","")</f>
        <v>Impossible de conserver un PTRA : masse maximale au point d'attelage inférieure aux exigences réglementaires</v>
      </c>
    </row>
    <row r="67" customFormat="false" ht="12.75" hidden="false" customHeight="false" outlineLevel="0" collapsed="false">
      <c r="B67" s="99" t="s">
        <v>151</v>
      </c>
      <c r="C67" s="99"/>
      <c r="D67" s="39"/>
    </row>
    <row r="68" customFormat="false" ht="12.75" hidden="false" customHeight="false" outlineLevel="0" collapsed="false">
      <c r="B68" s="99" t="s">
        <v>152</v>
      </c>
      <c r="C68" s="99"/>
      <c r="D68" s="64" t="e">
        <f aca="false">D67+G48+G49-C152</f>
        <v>#DIV/0!</v>
      </c>
    </row>
    <row r="69" customFormat="false" ht="12.75" hidden="false" customHeight="false" outlineLevel="0" collapsed="false">
      <c r="B69" s="99" t="s">
        <v>153</v>
      </c>
      <c r="C69" s="99"/>
      <c r="D69" s="64" t="e">
        <f aca="false">D68+G50</f>
        <v>#DIV/0!</v>
      </c>
    </row>
    <row r="70" customFormat="false" ht="12.75" hidden="false" customHeight="false" outlineLevel="0" collapsed="false">
      <c r="C70" s="4"/>
      <c r="D70" s="24"/>
    </row>
    <row r="71" customFormat="false" ht="12.75" hidden="false" customHeight="false" outlineLevel="0" collapsed="false">
      <c r="B71" s="100" t="s">
        <v>154</v>
      </c>
      <c r="C71" s="17"/>
      <c r="D71" s="101" t="e">
        <f aca="false">D16-C41-D41-SUM(D54:D58)*75-SUM(D59:D63)*160-D66</f>
        <v>#VALUE!</v>
      </c>
    </row>
    <row r="72" customFormat="false" ht="12.75" hidden="false" customHeight="false" outlineLevel="0" collapsed="false">
      <c r="B72" s="65"/>
      <c r="C72" s="4"/>
      <c r="D72" s="24"/>
    </row>
    <row r="73" customFormat="false" ht="12.75" hidden="false" customHeight="false" outlineLevel="0" collapsed="false">
      <c r="B73" s="49" t="s">
        <v>155</v>
      </c>
      <c r="C73" s="49"/>
      <c r="D73" s="49"/>
      <c r="E73" s="49"/>
    </row>
    <row r="74" customFormat="false" ht="38.25" hidden="false" customHeight="false" outlineLevel="0" collapsed="false">
      <c r="B74" s="102"/>
      <c r="C74" s="103"/>
      <c r="D74" s="32" t="s">
        <v>156</v>
      </c>
      <c r="E74" s="32" t="s">
        <v>157</v>
      </c>
    </row>
    <row r="75" customFormat="false" ht="12.75" hidden="false" customHeight="false" outlineLevel="0" collapsed="false">
      <c r="B75" s="102"/>
      <c r="C75" s="102"/>
      <c r="D75" s="50" t="e">
        <f aca="false">"Charge utile à répartir : "&amp;ROUND($D71,0)&amp;" kg"</f>
        <v>#VALUE!</v>
      </c>
      <c r="E75" s="50" t="e">
        <f aca="false">"Charge utile à répartir : "&amp;ROUND($D71+D66,0)&amp;" kg"</f>
        <v>#VALUE!</v>
      </c>
    </row>
    <row r="76" customFormat="false" ht="12.75" hidden="false" customHeight="false" outlineLevel="0" collapsed="false">
      <c r="B76" s="102"/>
      <c r="C76" s="102"/>
      <c r="D76" s="50" t="e">
        <f aca="false">"Charge utile restante à répartir : "&amp;ROUND($D71-SUM(D79:D108),0)&amp;" kg"</f>
        <v>#VALUE!</v>
      </c>
      <c r="E76" s="50" t="e">
        <f aca="false">"Charge utile restante à répartir : "&amp;ROUND($D71+D66-SUM(E79:E108),0)&amp;" kg"</f>
        <v>#VALUE!</v>
      </c>
    </row>
    <row r="77" customFormat="false" ht="32.25" hidden="false" customHeight="true" outlineLevel="0" collapsed="false">
      <c r="B77" s="66" t="s">
        <v>61</v>
      </c>
      <c r="C77" s="32" t="s">
        <v>136</v>
      </c>
      <c r="D77" s="32" t="s">
        <v>63</v>
      </c>
      <c r="E77" s="32" t="s">
        <v>63</v>
      </c>
      <c r="F77" s="67"/>
    </row>
    <row r="78" customFormat="false" ht="12.75" hidden="false" customHeight="false" outlineLevel="0" collapsed="false">
      <c r="B78" s="66" t="s">
        <v>149</v>
      </c>
      <c r="C78" s="68" t="n">
        <f aca="false">D67+SUM(G46:G49)</f>
        <v>0</v>
      </c>
      <c r="D78" s="104" t="n">
        <f aca="false">D66</f>
        <v>0</v>
      </c>
      <c r="E78" s="105"/>
      <c r="F78" s="72"/>
    </row>
    <row r="79" customFormat="false" ht="12.75" hidden="false" customHeight="false" outlineLevel="0" collapsed="false">
      <c r="B79" s="70" t="s">
        <v>65</v>
      </c>
      <c r="C79" s="71"/>
      <c r="D79" s="69"/>
      <c r="E79" s="69"/>
      <c r="F79" s="72"/>
    </row>
    <row r="80" customFormat="false" ht="12.75" hidden="false" customHeight="false" outlineLevel="0" collapsed="false">
      <c r="B80" s="70" t="s">
        <v>66</v>
      </c>
      <c r="C80" s="71"/>
      <c r="D80" s="69"/>
      <c r="E80" s="69"/>
      <c r="F80" s="72"/>
    </row>
    <row r="81" customFormat="false" ht="12.75" hidden="false" customHeight="false" outlineLevel="0" collapsed="false">
      <c r="B81" s="70" t="s">
        <v>67</v>
      </c>
      <c r="C81" s="71"/>
      <c r="D81" s="69"/>
      <c r="E81" s="69"/>
      <c r="F81" s="72"/>
    </row>
    <row r="82" customFormat="false" ht="12.75" hidden="false" customHeight="false" outlineLevel="0" collapsed="false">
      <c r="B82" s="70" t="s">
        <v>68</v>
      </c>
      <c r="C82" s="71"/>
      <c r="D82" s="69"/>
      <c r="E82" s="69"/>
      <c r="F82" s="72"/>
    </row>
    <row r="83" customFormat="false" ht="12.75" hidden="false" customHeight="false" outlineLevel="0" collapsed="false">
      <c r="B83" s="70" t="s">
        <v>69</v>
      </c>
      <c r="C83" s="71"/>
      <c r="D83" s="69"/>
      <c r="E83" s="69"/>
      <c r="F83" s="72"/>
    </row>
    <row r="84" customFormat="false" ht="12.75" hidden="false" customHeight="false" outlineLevel="0" collapsed="false">
      <c r="B84" s="70" t="s">
        <v>70</v>
      </c>
      <c r="C84" s="71"/>
      <c r="D84" s="69"/>
      <c r="E84" s="69"/>
      <c r="F84" s="72"/>
    </row>
    <row r="85" customFormat="false" ht="12.75" hidden="false" customHeight="false" outlineLevel="0" collapsed="false">
      <c r="B85" s="70" t="s">
        <v>71</v>
      </c>
      <c r="C85" s="71"/>
      <c r="D85" s="69"/>
      <c r="E85" s="69"/>
      <c r="F85" s="72"/>
    </row>
    <row r="86" customFormat="false" ht="12.75" hidden="false" customHeight="false" outlineLevel="0" collapsed="false">
      <c r="B86" s="70" t="s">
        <v>72</v>
      </c>
      <c r="C86" s="71"/>
      <c r="D86" s="69"/>
      <c r="E86" s="69"/>
      <c r="F86" s="72"/>
    </row>
    <row r="87" customFormat="false" ht="12.75" hidden="false" customHeight="false" outlineLevel="0" collapsed="false">
      <c r="B87" s="70" t="s">
        <v>73</v>
      </c>
      <c r="C87" s="71"/>
      <c r="D87" s="69"/>
      <c r="E87" s="69"/>
      <c r="F87" s="72"/>
    </row>
    <row r="88" customFormat="false" ht="12.75" hidden="false" customHeight="false" outlineLevel="0" collapsed="false">
      <c r="B88" s="70" t="s">
        <v>74</v>
      </c>
      <c r="C88" s="71"/>
      <c r="D88" s="69"/>
      <c r="E88" s="69"/>
      <c r="F88" s="72"/>
    </row>
    <row r="89" customFormat="false" ht="12.75" hidden="false" customHeight="false" outlineLevel="0" collapsed="false">
      <c r="B89" s="70" t="s">
        <v>75</v>
      </c>
      <c r="C89" s="71"/>
      <c r="D89" s="69"/>
      <c r="E89" s="69"/>
      <c r="F89" s="72"/>
    </row>
    <row r="90" customFormat="false" ht="12.75" hidden="false" customHeight="false" outlineLevel="0" collapsed="false">
      <c r="B90" s="70" t="s">
        <v>76</v>
      </c>
      <c r="C90" s="71"/>
      <c r="D90" s="69"/>
      <c r="E90" s="69"/>
      <c r="F90" s="72"/>
    </row>
    <row r="91" customFormat="false" ht="12.75" hidden="false" customHeight="false" outlineLevel="0" collapsed="false">
      <c r="B91" s="70" t="s">
        <v>77</v>
      </c>
      <c r="C91" s="71"/>
      <c r="D91" s="69"/>
      <c r="E91" s="69"/>
      <c r="F91" s="72"/>
    </row>
    <row r="92" customFormat="false" ht="12.75" hidden="false" customHeight="false" outlineLevel="0" collapsed="false">
      <c r="B92" s="70" t="s">
        <v>78</v>
      </c>
      <c r="C92" s="71"/>
      <c r="D92" s="69"/>
      <c r="E92" s="69"/>
      <c r="F92" s="72"/>
    </row>
    <row r="93" customFormat="false" ht="12.75" hidden="false" customHeight="false" outlineLevel="0" collapsed="false">
      <c r="B93" s="70" t="s">
        <v>79</v>
      </c>
      <c r="C93" s="71"/>
      <c r="D93" s="69"/>
      <c r="E93" s="69"/>
      <c r="F93" s="72"/>
    </row>
    <row r="94" customFormat="false" ht="12.75" hidden="false" customHeight="false" outlineLevel="0" collapsed="false">
      <c r="B94" s="70" t="s">
        <v>80</v>
      </c>
      <c r="C94" s="71"/>
      <c r="D94" s="69"/>
      <c r="E94" s="69"/>
      <c r="F94" s="72"/>
    </row>
    <row r="95" customFormat="false" ht="12.75" hidden="false" customHeight="false" outlineLevel="0" collapsed="false">
      <c r="B95" s="70" t="s">
        <v>81</v>
      </c>
      <c r="C95" s="71"/>
      <c r="D95" s="69"/>
      <c r="E95" s="69"/>
      <c r="F95" s="72"/>
    </row>
    <row r="96" customFormat="false" ht="12.75" hidden="false" customHeight="false" outlineLevel="0" collapsed="false">
      <c r="B96" s="70" t="s">
        <v>82</v>
      </c>
      <c r="C96" s="71"/>
      <c r="D96" s="69"/>
      <c r="E96" s="69"/>
      <c r="F96" s="72"/>
    </row>
    <row r="97" customFormat="false" ht="12.75" hidden="false" customHeight="false" outlineLevel="0" collapsed="false">
      <c r="B97" s="70" t="s">
        <v>83</v>
      </c>
      <c r="C97" s="71"/>
      <c r="D97" s="69"/>
      <c r="E97" s="69"/>
      <c r="F97" s="72"/>
    </row>
    <row r="98" customFormat="false" ht="12.75" hidden="false" customHeight="false" outlineLevel="0" collapsed="false">
      <c r="B98" s="70" t="s">
        <v>84</v>
      </c>
      <c r="C98" s="71"/>
      <c r="D98" s="69"/>
      <c r="E98" s="69"/>
      <c r="F98" s="72"/>
    </row>
    <row r="99" customFormat="false" ht="12.75" hidden="false" customHeight="false" outlineLevel="0" collapsed="false">
      <c r="B99" s="70" t="s">
        <v>85</v>
      </c>
      <c r="C99" s="71"/>
      <c r="D99" s="69"/>
      <c r="E99" s="69"/>
      <c r="F99" s="72"/>
    </row>
    <row r="100" customFormat="false" ht="12.75" hidden="false" customHeight="false" outlineLevel="0" collapsed="false">
      <c r="B100" s="70" t="s">
        <v>86</v>
      </c>
      <c r="C100" s="71"/>
      <c r="D100" s="69"/>
      <c r="E100" s="69"/>
      <c r="F100" s="72"/>
    </row>
    <row r="101" customFormat="false" ht="12.75" hidden="false" customHeight="false" outlineLevel="0" collapsed="false">
      <c r="B101" s="70" t="s">
        <v>87</v>
      </c>
      <c r="C101" s="71"/>
      <c r="D101" s="69"/>
      <c r="E101" s="69"/>
      <c r="F101" s="72"/>
    </row>
    <row r="102" customFormat="false" ht="12.75" hidden="false" customHeight="false" outlineLevel="0" collapsed="false">
      <c r="B102" s="70" t="s">
        <v>88</v>
      </c>
      <c r="C102" s="71"/>
      <c r="D102" s="69"/>
      <c r="E102" s="69"/>
      <c r="F102" s="72"/>
    </row>
    <row r="103" customFormat="false" ht="12.75" hidden="false" customHeight="false" outlineLevel="0" collapsed="false">
      <c r="B103" s="70" t="s">
        <v>89</v>
      </c>
      <c r="C103" s="71"/>
      <c r="D103" s="69"/>
      <c r="E103" s="69"/>
      <c r="F103" s="72"/>
    </row>
    <row r="104" customFormat="false" ht="12.75" hidden="false" customHeight="false" outlineLevel="0" collapsed="false">
      <c r="B104" s="70" t="s">
        <v>90</v>
      </c>
      <c r="C104" s="71"/>
      <c r="D104" s="69"/>
      <c r="E104" s="69"/>
      <c r="F104" s="72"/>
    </row>
    <row r="105" customFormat="false" ht="12.75" hidden="false" customHeight="false" outlineLevel="0" collapsed="false">
      <c r="B105" s="70" t="s">
        <v>91</v>
      </c>
      <c r="C105" s="71"/>
      <c r="D105" s="69"/>
      <c r="E105" s="69"/>
      <c r="F105" s="72"/>
    </row>
    <row r="106" customFormat="false" ht="12.75" hidden="false" customHeight="false" outlineLevel="0" collapsed="false">
      <c r="B106" s="70"/>
      <c r="C106" s="71"/>
      <c r="D106" s="69"/>
      <c r="E106" s="69"/>
      <c r="F106" s="72"/>
    </row>
    <row r="107" customFormat="false" ht="12.75" hidden="false" customHeight="false" outlineLevel="0" collapsed="false">
      <c r="B107" s="70"/>
      <c r="C107" s="71"/>
      <c r="D107" s="69"/>
      <c r="E107" s="69"/>
      <c r="F107" s="72"/>
    </row>
    <row r="108" customFormat="false" ht="12.75" hidden="false" customHeight="false" outlineLevel="0" collapsed="false">
      <c r="B108" s="70"/>
      <c r="C108" s="71"/>
      <c r="D108" s="69"/>
      <c r="E108" s="69"/>
      <c r="F108" s="72"/>
    </row>
    <row r="110" customFormat="false" ht="12.75" hidden="false" customHeight="false" outlineLevel="0" collapsed="false">
      <c r="B110" s="49" t="s">
        <v>158</v>
      </c>
      <c r="C110" s="49"/>
      <c r="D110" s="49"/>
    </row>
    <row r="111" customFormat="false" ht="12.75" hidden="false" customHeight="false" outlineLevel="0" collapsed="false">
      <c r="B111" s="49"/>
      <c r="C111" s="73" t="s">
        <v>93</v>
      </c>
      <c r="D111" s="70" t="s">
        <v>94</v>
      </c>
    </row>
    <row r="112" customFormat="false" ht="12.75" hidden="false" customHeight="false" outlineLevel="0" collapsed="false">
      <c r="B112" s="52" t="s">
        <v>95</v>
      </c>
      <c r="C112" s="16" t="e">
        <f aca="false">D15-C41-D41-SUM(D54:D58)*75-SUM(D59:D63)*160</f>
        <v>#VALUE!</v>
      </c>
      <c r="D112" s="74" t="n">
        <f aca="false">10*(SUM(D54:D63)+D18)</f>
        <v>0</v>
      </c>
    </row>
    <row r="114" customFormat="false" ht="12.75" hidden="false" customHeight="false" outlineLevel="0" collapsed="false">
      <c r="B114" s="49" t="s">
        <v>159</v>
      </c>
      <c r="C114" s="49"/>
      <c r="D114" s="49"/>
      <c r="E114" s="49"/>
    </row>
    <row r="115" customFormat="false" ht="12.75" hidden="false" customHeight="false" outlineLevel="0" collapsed="false">
      <c r="C115" s="77" t="s">
        <v>52</v>
      </c>
      <c r="D115" s="77" t="s">
        <v>53</v>
      </c>
      <c r="E115" s="77" t="s">
        <v>45</v>
      </c>
    </row>
    <row r="116" customFormat="false" ht="12.75" hidden="false" customHeight="false" outlineLevel="0" collapsed="false">
      <c r="B116" s="14" t="s">
        <v>124</v>
      </c>
      <c r="C116" s="16" t="str">
        <f aca="false">C126</f>
        <v/>
      </c>
      <c r="D116" s="16" t="str">
        <f aca="false">D126</f>
        <v/>
      </c>
      <c r="E116" s="16" t="n">
        <f aca="false">E126</f>
        <v>0</v>
      </c>
    </row>
    <row r="117" customFormat="false" ht="12.75" hidden="false" customHeight="false" outlineLevel="0" collapsed="false">
      <c r="B117" s="14" t="s">
        <v>160</v>
      </c>
      <c r="C117" s="16" t="e">
        <f aca="false">C127</f>
        <v>#VALUE!</v>
      </c>
      <c r="D117" s="16" t="e">
        <f aca="false">D127</f>
        <v>#VALUE!</v>
      </c>
      <c r="E117" s="16" t="e">
        <f aca="false">E127</f>
        <v>#VALUE!</v>
      </c>
    </row>
    <row r="118" customFormat="false" ht="12.75" hidden="false" customHeight="false" outlineLevel="0" collapsed="false">
      <c r="B118" s="14" t="s">
        <v>161</v>
      </c>
      <c r="C118" s="101" t="n">
        <v>0</v>
      </c>
      <c r="D118" s="101" t="n">
        <v>0</v>
      </c>
      <c r="E118" s="101" t="n">
        <f aca="false">D118+C118</f>
        <v>0</v>
      </c>
    </row>
    <row r="119" customFormat="false" ht="12.75" hidden="false" customHeight="false" outlineLevel="0" collapsed="false">
      <c r="B119" s="14" t="s">
        <v>98</v>
      </c>
      <c r="C119" s="16" t="e">
        <f aca="false">IF($D66&lt;1,C129,C139)</f>
        <v>#VALUE!</v>
      </c>
      <c r="D119" s="16" t="e">
        <f aca="false">IF($D66&lt;1,D129,D139)</f>
        <v>#VALUE!</v>
      </c>
      <c r="E119" s="16" t="e">
        <f aca="false">D119+C119</f>
        <v>#VALUE!</v>
      </c>
    </row>
    <row r="120" customFormat="false" ht="12.75" hidden="false" customHeight="false" outlineLevel="0" collapsed="false">
      <c r="B120" s="78" t="s">
        <v>99</v>
      </c>
      <c r="C120" s="79" t="e">
        <f aca="false">SUM(C116:C119)</f>
        <v>#VALUE!</v>
      </c>
      <c r="D120" s="79" t="e">
        <f aca="false">SUM(D116:D119)</f>
        <v>#VALUE!</v>
      </c>
      <c r="E120" s="79" t="e">
        <f aca="false">SUM(E116:E119)</f>
        <v>#VALUE!</v>
      </c>
    </row>
    <row r="121" customFormat="false" ht="12.75" hidden="false" customHeight="false" outlineLevel="0" collapsed="false">
      <c r="B121" s="78" t="s">
        <v>100</v>
      </c>
      <c r="C121" s="79" t="n">
        <f aca="false">E45</f>
        <v>0</v>
      </c>
      <c r="D121" s="79" t="n">
        <f aca="false">E47</f>
        <v>0</v>
      </c>
      <c r="E121" s="79" t="n">
        <f aca="false">D16</f>
        <v>0</v>
      </c>
    </row>
    <row r="122" customFormat="false" ht="12.75" hidden="false" customHeight="false" outlineLevel="0" collapsed="false">
      <c r="B122" s="78" t="s">
        <v>162</v>
      </c>
      <c r="C122" s="106" t="e">
        <f aca="false">C120/D15</f>
        <v>#VALUE!</v>
      </c>
      <c r="D122" s="107"/>
      <c r="E122" s="107"/>
    </row>
    <row r="124" customFormat="false" ht="12.75" hidden="false" customHeight="false" outlineLevel="0" collapsed="false">
      <c r="B124" s="49" t="s">
        <v>163</v>
      </c>
      <c r="C124" s="49"/>
      <c r="D124" s="49"/>
      <c r="E124" s="49"/>
    </row>
    <row r="125" customFormat="false" ht="12.75" hidden="false" customHeight="false" outlineLevel="0" collapsed="false">
      <c r="C125" s="77" t="s">
        <v>52</v>
      </c>
      <c r="D125" s="77" t="s">
        <v>53</v>
      </c>
      <c r="E125" s="77" t="s">
        <v>45</v>
      </c>
    </row>
    <row r="126" customFormat="false" ht="12.75" hidden="false" customHeight="false" outlineLevel="0" collapsed="false">
      <c r="B126" s="14" t="s">
        <v>124</v>
      </c>
      <c r="C126" s="16" t="str">
        <f aca="false">C41</f>
        <v/>
      </c>
      <c r="D126" s="16" t="str">
        <f aca="false">D41</f>
        <v/>
      </c>
      <c r="E126" s="16" t="n">
        <f aca="false">E41</f>
        <v>0</v>
      </c>
    </row>
    <row r="127" customFormat="false" ht="12.75" hidden="false" customHeight="false" outlineLevel="0" collapsed="false">
      <c r="B127" s="14" t="s">
        <v>160</v>
      </c>
      <c r="C127" s="16" t="e">
        <f aca="false">(SUMPRODUCT(G50-C54:C58,D54:D58)*75+160*SUMPRODUCT(G50-C59:C63,D59:D63))/G50</f>
        <v>#VALUE!</v>
      </c>
      <c r="D127" s="16" t="e">
        <f aca="false">(75*SUMPRODUCT(C54:C58,D54:D58)+160*SUMPRODUCT(C59:C63,D59:D63))/G50</f>
        <v>#VALUE!</v>
      </c>
      <c r="E127" s="16" t="e">
        <f aca="false">D127+C127</f>
        <v>#VALUE!</v>
      </c>
    </row>
    <row r="128" customFormat="false" ht="12.75" hidden="false" customHeight="false" outlineLevel="0" collapsed="false">
      <c r="B128" s="14" t="s">
        <v>161</v>
      </c>
      <c r="C128" s="101" t="e">
        <f aca="false">D66*(G50-C78)/G50</f>
        <v>#VALUE!</v>
      </c>
      <c r="D128" s="101" t="e">
        <f aca="false">D66*C78/G50</f>
        <v>#VALUE!</v>
      </c>
      <c r="E128" s="101" t="e">
        <f aca="false">D128+C128</f>
        <v>#VALUE!</v>
      </c>
    </row>
    <row r="129" customFormat="false" ht="12.75" hidden="false" customHeight="false" outlineLevel="0" collapsed="false">
      <c r="B129" s="14" t="s">
        <v>98</v>
      </c>
      <c r="C129" s="16" t="e">
        <f aca="false">SUMPRODUCT(G50-C79:C108,D79:D108)/G50</f>
        <v>#VALUE!</v>
      </c>
      <c r="D129" s="16" t="e">
        <f aca="false">SUMPRODUCT(C79:C108,D79:D108)/G50</f>
        <v>#VALUE!</v>
      </c>
      <c r="E129" s="16" t="e">
        <f aca="false">D129+C129</f>
        <v>#VALUE!</v>
      </c>
    </row>
    <row r="130" customFormat="false" ht="12.75" hidden="false" customHeight="false" outlineLevel="0" collapsed="false">
      <c r="B130" s="78" t="s">
        <v>99</v>
      </c>
      <c r="C130" s="79" t="e">
        <f aca="false">SUM(C126:C129)</f>
        <v>#VALUE!</v>
      </c>
      <c r="D130" s="79" t="e">
        <f aca="false">SUM(D126:D129)</f>
        <v>#VALUE!</v>
      </c>
      <c r="E130" s="79" t="e">
        <f aca="false">SUM(E126:E129)</f>
        <v>#VALUE!</v>
      </c>
    </row>
    <row r="131" customFormat="false" ht="12.75" hidden="false" customHeight="false" outlineLevel="0" collapsed="false">
      <c r="B131" s="78" t="s">
        <v>100</v>
      </c>
      <c r="C131" s="79" t="n">
        <f aca="false">E45</f>
        <v>0</v>
      </c>
      <c r="D131" s="79" t="n">
        <f aca="false">IF(D66&gt;0,1.15*E47,E47)</f>
        <v>0</v>
      </c>
      <c r="E131" s="79" t="n">
        <f aca="false">D16</f>
        <v>0</v>
      </c>
    </row>
    <row r="132" customFormat="false" ht="12.75" hidden="false" customHeight="false" outlineLevel="0" collapsed="false">
      <c r="B132" s="78" t="s">
        <v>162</v>
      </c>
      <c r="C132" s="106" t="e">
        <f aca="false">C130/D15</f>
        <v>#VALUE!</v>
      </c>
      <c r="D132" s="108"/>
      <c r="E132" s="107"/>
    </row>
    <row r="134" customFormat="false" ht="12.75" hidden="false" customHeight="false" outlineLevel="0" collapsed="false">
      <c r="B134" s="49" t="s">
        <v>164</v>
      </c>
      <c r="C134" s="49"/>
      <c r="D134" s="49"/>
      <c r="E134" s="49"/>
    </row>
    <row r="135" customFormat="false" ht="12.75" hidden="false" customHeight="false" outlineLevel="0" collapsed="false">
      <c r="C135" s="77" t="s">
        <v>52</v>
      </c>
      <c r="D135" s="77" t="s">
        <v>53</v>
      </c>
      <c r="E135" s="77" t="s">
        <v>45</v>
      </c>
    </row>
    <row r="136" customFormat="false" ht="12.75" hidden="false" customHeight="false" outlineLevel="0" collapsed="false">
      <c r="B136" s="14" t="s">
        <v>124</v>
      </c>
      <c r="C136" s="16" t="str">
        <f aca="false">C126</f>
        <v/>
      </c>
      <c r="D136" s="16" t="str">
        <f aca="false">D126</f>
        <v/>
      </c>
      <c r="E136" s="16" t="n">
        <f aca="false">E126</f>
        <v>0</v>
      </c>
    </row>
    <row r="137" customFormat="false" ht="12.75" hidden="false" customHeight="false" outlineLevel="0" collapsed="false">
      <c r="B137" s="14" t="s">
        <v>160</v>
      </c>
      <c r="C137" s="16" t="e">
        <f aca="false">C127</f>
        <v>#VALUE!</v>
      </c>
      <c r="D137" s="16" t="e">
        <f aca="false">D127</f>
        <v>#VALUE!</v>
      </c>
      <c r="E137" s="16" t="e">
        <f aca="false">E127</f>
        <v>#VALUE!</v>
      </c>
    </row>
    <row r="138" customFormat="false" ht="12.75" hidden="false" customHeight="false" outlineLevel="0" collapsed="false">
      <c r="B138" s="14" t="s">
        <v>161</v>
      </c>
      <c r="C138" s="101" t="e">
        <f aca="false">C128</f>
        <v>#VALUE!</v>
      </c>
      <c r="D138" s="101" t="e">
        <f aca="false">D128</f>
        <v>#VALUE!</v>
      </c>
      <c r="E138" s="101" t="e">
        <f aca="false">E128</f>
        <v>#VALUE!</v>
      </c>
    </row>
    <row r="139" customFormat="false" ht="12.75" hidden="false" customHeight="false" outlineLevel="0" collapsed="false">
      <c r="B139" s="14" t="s">
        <v>98</v>
      </c>
      <c r="C139" s="16" t="e">
        <f aca="false">SUMPRODUCT(G50-C79:C108,E79:E108)/G50</f>
        <v>#VALUE!</v>
      </c>
      <c r="D139" s="16" t="e">
        <f aca="false">SUMPRODUCT(C79:C108,E79:E108)/G50</f>
        <v>#VALUE!</v>
      </c>
      <c r="E139" s="16" t="e">
        <f aca="false">D139+C139</f>
        <v>#VALUE!</v>
      </c>
    </row>
    <row r="140" customFormat="false" ht="12.75" hidden="false" customHeight="false" outlineLevel="0" collapsed="false">
      <c r="B140" s="78" t="s">
        <v>99</v>
      </c>
      <c r="C140" s="79" t="e">
        <f aca="false">SUM(C136:C139)</f>
        <v>#VALUE!</v>
      </c>
      <c r="D140" s="79" t="e">
        <f aca="false">SUM(D136:D139)</f>
        <v>#VALUE!</v>
      </c>
      <c r="E140" s="79" t="e">
        <f aca="false">SUM(E136:E139)</f>
        <v>#VALUE!</v>
      </c>
    </row>
    <row r="141" customFormat="false" ht="12.75" hidden="false" customHeight="false" outlineLevel="0" collapsed="false">
      <c r="B141" s="78" t="s">
        <v>100</v>
      </c>
      <c r="C141" s="79" t="n">
        <f aca="false">C131</f>
        <v>0</v>
      </c>
      <c r="D141" s="79" t="n">
        <f aca="false">D131</f>
        <v>0</v>
      </c>
      <c r="E141" s="79" t="n">
        <f aca="false">D16+D66</f>
        <v>0</v>
      </c>
    </row>
    <row r="142" customFormat="false" ht="12.75" hidden="false" customHeight="false" outlineLevel="0" collapsed="false">
      <c r="B142" s="78" t="s">
        <v>162</v>
      </c>
      <c r="C142" s="106" t="e">
        <f aca="false">C140/D15</f>
        <v>#VALUE!</v>
      </c>
      <c r="D142" s="108"/>
      <c r="E142" s="107"/>
    </row>
    <row r="143" customFormat="false" ht="12.75" hidden="false" customHeight="false" outlineLevel="0" collapsed="false">
      <c r="A143" s="0" t="s">
        <v>165</v>
      </c>
      <c r="B143" s="109"/>
      <c r="D143" s="108"/>
      <c r="E143" s="107"/>
    </row>
    <row r="144" customFormat="false" ht="12.75" hidden="false" customHeight="false" outlineLevel="0" collapsed="false">
      <c r="B144" s="109"/>
      <c r="D144" s="108"/>
      <c r="E144" s="107"/>
    </row>
    <row r="145" customFormat="false" ht="12.75" hidden="true" customHeight="false" outlineLevel="0" collapsed="false">
      <c r="B145" s="110" t="s">
        <v>166</v>
      </c>
      <c r="C145" s="110"/>
      <c r="D145" s="110"/>
      <c r="E145" s="110"/>
      <c r="F145" s="111"/>
    </row>
    <row r="146" customFormat="false" ht="12.75" hidden="true" customHeight="false" outlineLevel="0" collapsed="false">
      <c r="B146" s="112" t="s">
        <v>167</v>
      </c>
      <c r="C146" s="112"/>
      <c r="D146" s="112"/>
      <c r="E146" s="113" t="e">
        <f aca="false">IF(AND(MAX(D130,D140)&gt;E47,(MAX(D130,D140)&lt;(1.15*E47))),"Conforme sous condition ci-après","Non concerné")</f>
        <v>#VALUE!</v>
      </c>
      <c r="F146" s="113"/>
    </row>
    <row r="147" customFormat="false" ht="27" hidden="true" customHeight="true" outlineLevel="0" collapsed="false">
      <c r="B147" s="114" t="s">
        <v>168</v>
      </c>
      <c r="C147" s="114"/>
      <c r="D147" s="114"/>
      <c r="E147" s="113"/>
      <c r="F147" s="107"/>
    </row>
    <row r="148" customFormat="false" ht="13.5" hidden="true" customHeight="true" outlineLevel="0" collapsed="false">
      <c r="B148" s="115" t="s">
        <v>169</v>
      </c>
      <c r="C148" s="115"/>
      <c r="D148" s="115"/>
      <c r="E148" s="116" t="e">
        <f aca="false">IF(VLOOKUP(1,B162:F362,4,0)&gt;=B160/2,VLOOKUP(1,B162:F362,2,0),VLOOKUP(1,B162:F362,2,0))+1</f>
        <v>#N/A</v>
      </c>
      <c r="F148" s="107"/>
    </row>
    <row r="151" customFormat="false" ht="12.75" hidden="true" customHeight="false" outlineLevel="0" collapsed="false">
      <c r="B151" s="0" t="s">
        <v>170</v>
      </c>
      <c r="C151" s="0" t="e">
        <f aca="false">D48/(D47+D48)*G48</f>
        <v>#DIV/0!</v>
      </c>
    </row>
    <row r="152" customFormat="false" ht="12.75" hidden="true" customHeight="false" outlineLevel="0" collapsed="false">
      <c r="B152" s="0" t="s">
        <v>171</v>
      </c>
      <c r="C152" s="0" t="e">
        <f aca="false">D49/SUM(D47:D49)*(G49+G48-C151)+C151</f>
        <v>#DIV/0!</v>
      </c>
    </row>
    <row r="153" customFormat="false" ht="12.75" hidden="true" customHeight="false" outlineLevel="0" collapsed="false">
      <c r="B153" s="0" t="s">
        <v>172</v>
      </c>
      <c r="C153" s="0" t="e">
        <f aca="false">D46/(D45+D46)*G46</f>
        <v>#DIV/0!</v>
      </c>
    </row>
    <row r="154" customFormat="false" ht="12.75" hidden="true" customHeight="false" outlineLevel="0" collapsed="false">
      <c r="B154" s="0" t="s">
        <v>103</v>
      </c>
      <c r="C154" s="0" t="e">
        <f aca="false">G46-C153+G47+C152</f>
        <v>#DIV/0!</v>
      </c>
    </row>
    <row r="155" customFormat="false" ht="12.75" hidden="true" customHeight="false" outlineLevel="0" collapsed="false"/>
    <row r="156" customFormat="false" ht="12.75" hidden="true" customHeight="false" outlineLevel="0" collapsed="false">
      <c r="D156" s="97"/>
    </row>
    <row r="157" customFormat="false" ht="12.75" hidden="true" customHeight="false" outlineLevel="0" collapsed="false"/>
    <row r="158" customFormat="false" ht="12.75" hidden="true" customHeight="false" outlineLevel="0" collapsed="false"/>
    <row r="159" customFormat="false" ht="12.75" hidden="true" customHeight="false" outlineLevel="0" collapsed="false"/>
    <row r="160" customFormat="false" ht="12.75" hidden="true" customHeight="false" outlineLevel="0" collapsed="false">
      <c r="B160" s="117" t="e">
        <f aca="false">MAX(D130,D140)</f>
        <v>#VALUE!</v>
      </c>
      <c r="F160" s="118" t="s">
        <v>173</v>
      </c>
    </row>
    <row r="161" customFormat="false" ht="12.75" hidden="true" customHeight="false" outlineLevel="0" collapsed="false">
      <c r="B161" s="0" t="s">
        <v>174</v>
      </c>
      <c r="C161" s="0" t="s">
        <v>175</v>
      </c>
      <c r="D161" s="0" t="s">
        <v>176</v>
      </c>
      <c r="E161" s="0" t="s">
        <v>177</v>
      </c>
      <c r="F161" s="118" t="e">
        <f aca="false">IF(VLOOKUP(1,B162:F362,4,0)&gt;=B160/2,VLOOKUP(1,B162:F362,2,0),VLOOKUP(1,B162:F362,2,0))+1</f>
        <v>#N/A</v>
      </c>
    </row>
    <row r="162" customFormat="false" ht="12.75" hidden="true" customHeight="false" outlineLevel="0" collapsed="false">
      <c r="B162" s="12" t="e">
        <f aca="false">IF(F162=MIN(F$162:F$362),1,0)</f>
        <v>#VALUE!</v>
      </c>
      <c r="C162" s="0" t="n">
        <v>0</v>
      </c>
      <c r="D162" s="0" t="n">
        <v>45</v>
      </c>
      <c r="E162" s="0" t="n">
        <f aca="false">2*D162</f>
        <v>90</v>
      </c>
      <c r="F162" s="0" t="e">
        <f aca="false">ABS(B$160-E162)</f>
        <v>#VALUE!</v>
      </c>
    </row>
    <row r="163" customFormat="false" ht="12.75" hidden="true" customHeight="false" outlineLevel="0" collapsed="false">
      <c r="B163" s="12" t="e">
        <f aca="false">IF(F163=MIN(F$162:F$362),1,0)</f>
        <v>#VALUE!</v>
      </c>
      <c r="C163" s="0" t="n">
        <v>1</v>
      </c>
      <c r="D163" s="0" t="n">
        <v>46.2</v>
      </c>
      <c r="E163" s="0" t="n">
        <f aca="false">2*D163</f>
        <v>92.4</v>
      </c>
      <c r="F163" s="0" t="e">
        <f aca="false">ABS(B$160-E163)</f>
        <v>#VALUE!</v>
      </c>
    </row>
    <row r="164" customFormat="false" ht="12.75" hidden="true" customHeight="false" outlineLevel="0" collapsed="false">
      <c r="B164" s="12" t="e">
        <f aca="false">IF(F164=MIN(F$162:F$362),1,0)</f>
        <v>#VALUE!</v>
      </c>
      <c r="C164" s="0" t="n">
        <v>2</v>
      </c>
      <c r="D164" s="0" t="n">
        <v>47.5</v>
      </c>
      <c r="E164" s="0" t="n">
        <f aca="false">2*D164</f>
        <v>95</v>
      </c>
      <c r="F164" s="0" t="e">
        <f aca="false">ABS(B$160-E164)</f>
        <v>#VALUE!</v>
      </c>
    </row>
    <row r="165" customFormat="false" ht="12.75" hidden="true" customHeight="false" outlineLevel="0" collapsed="false">
      <c r="B165" s="12" t="e">
        <f aca="false">IF(F165=MIN(F$162:F$362),1,0)</f>
        <v>#VALUE!</v>
      </c>
      <c r="C165" s="0" t="n">
        <v>3</v>
      </c>
      <c r="D165" s="0" t="n">
        <v>48.7</v>
      </c>
      <c r="E165" s="0" t="n">
        <f aca="false">2*D165</f>
        <v>97.4</v>
      </c>
      <c r="F165" s="0" t="e">
        <f aca="false">ABS(B$160-E165)</f>
        <v>#VALUE!</v>
      </c>
    </row>
    <row r="166" customFormat="false" ht="12.75" hidden="true" customHeight="false" outlineLevel="0" collapsed="false">
      <c r="B166" s="12" t="e">
        <f aca="false">IF(F166=MIN(F$162:F$362),1,0)</f>
        <v>#VALUE!</v>
      </c>
      <c r="C166" s="0" t="n">
        <v>4</v>
      </c>
      <c r="D166" s="0" t="n">
        <v>50</v>
      </c>
      <c r="E166" s="0" t="n">
        <f aca="false">2*D166</f>
        <v>100</v>
      </c>
      <c r="F166" s="0" t="e">
        <f aca="false">ABS(B$160-E166)</f>
        <v>#VALUE!</v>
      </c>
    </row>
    <row r="167" customFormat="false" ht="12.75" hidden="true" customHeight="false" outlineLevel="0" collapsed="false">
      <c r="B167" s="12" t="e">
        <f aca="false">IF(F167=MIN(F$162:F$362),1,0)</f>
        <v>#VALUE!</v>
      </c>
      <c r="C167" s="0" t="n">
        <v>5</v>
      </c>
      <c r="D167" s="0" t="n">
        <v>51.5</v>
      </c>
      <c r="E167" s="0" t="n">
        <f aca="false">2*D167</f>
        <v>103</v>
      </c>
      <c r="F167" s="0" t="e">
        <f aca="false">ABS(B$160-E167)</f>
        <v>#VALUE!</v>
      </c>
    </row>
    <row r="168" customFormat="false" ht="12.75" hidden="true" customHeight="false" outlineLevel="0" collapsed="false">
      <c r="B168" s="12" t="e">
        <f aca="false">IF(F168=MIN(F$162:F$362),1,0)</f>
        <v>#VALUE!</v>
      </c>
      <c r="C168" s="0" t="n">
        <v>6</v>
      </c>
      <c r="D168" s="0" t="n">
        <v>53</v>
      </c>
      <c r="E168" s="0" t="n">
        <f aca="false">2*D168</f>
        <v>106</v>
      </c>
      <c r="F168" s="0" t="e">
        <f aca="false">ABS(B$160-E168)</f>
        <v>#VALUE!</v>
      </c>
    </row>
    <row r="169" customFormat="false" ht="12.75" hidden="true" customHeight="false" outlineLevel="0" collapsed="false">
      <c r="B169" s="12" t="e">
        <f aca="false">IF(F169=MIN(F$162:F$362),1,0)</f>
        <v>#VALUE!</v>
      </c>
      <c r="C169" s="0" t="n">
        <v>7</v>
      </c>
      <c r="D169" s="0" t="n">
        <v>54.5</v>
      </c>
      <c r="E169" s="0" t="n">
        <f aca="false">2*D169</f>
        <v>109</v>
      </c>
      <c r="F169" s="0" t="e">
        <f aca="false">ABS(B$160-E169)</f>
        <v>#VALUE!</v>
      </c>
    </row>
    <row r="170" customFormat="false" ht="12.75" hidden="true" customHeight="false" outlineLevel="0" collapsed="false">
      <c r="B170" s="12" t="e">
        <f aca="false">IF(F170=MIN(F$162:F$362),1,0)</f>
        <v>#VALUE!</v>
      </c>
      <c r="C170" s="0" t="n">
        <v>8</v>
      </c>
      <c r="D170" s="0" t="n">
        <v>56</v>
      </c>
      <c r="E170" s="0" t="n">
        <f aca="false">2*D170</f>
        <v>112</v>
      </c>
      <c r="F170" s="0" t="e">
        <f aca="false">ABS(B$160-E170)</f>
        <v>#VALUE!</v>
      </c>
    </row>
    <row r="171" customFormat="false" ht="12.75" hidden="true" customHeight="false" outlineLevel="0" collapsed="false">
      <c r="B171" s="12" t="e">
        <f aca="false">IF(F171=MIN(F$162:F$362),1,0)</f>
        <v>#VALUE!</v>
      </c>
      <c r="C171" s="0" t="n">
        <v>9</v>
      </c>
      <c r="D171" s="0" t="n">
        <v>58</v>
      </c>
      <c r="E171" s="0" t="n">
        <f aca="false">2*D171</f>
        <v>116</v>
      </c>
      <c r="F171" s="0" t="e">
        <f aca="false">ABS(B$160-E171)</f>
        <v>#VALUE!</v>
      </c>
    </row>
    <row r="172" customFormat="false" ht="12.75" hidden="true" customHeight="false" outlineLevel="0" collapsed="false">
      <c r="B172" s="12" t="e">
        <f aca="false">IF(F172=MIN(F$162:F$362),1,0)</f>
        <v>#VALUE!</v>
      </c>
      <c r="C172" s="0" t="n">
        <v>10</v>
      </c>
      <c r="D172" s="0" t="n">
        <v>60</v>
      </c>
      <c r="E172" s="0" t="n">
        <f aca="false">2*D172</f>
        <v>120</v>
      </c>
      <c r="F172" s="0" t="e">
        <f aca="false">ABS(B$160-E172)</f>
        <v>#VALUE!</v>
      </c>
    </row>
    <row r="173" customFormat="false" ht="12.75" hidden="true" customHeight="false" outlineLevel="0" collapsed="false">
      <c r="B173" s="12" t="e">
        <f aca="false">IF(F173=MIN(F$162:F$362),1,0)</f>
        <v>#VALUE!</v>
      </c>
      <c r="C173" s="0" t="n">
        <v>11</v>
      </c>
      <c r="D173" s="0" t="n">
        <v>61.5</v>
      </c>
      <c r="E173" s="0" t="n">
        <f aca="false">2*D173</f>
        <v>123</v>
      </c>
      <c r="F173" s="0" t="e">
        <f aca="false">ABS(B$160-E173)</f>
        <v>#VALUE!</v>
      </c>
    </row>
    <row r="174" customFormat="false" ht="12.75" hidden="true" customHeight="false" outlineLevel="0" collapsed="false">
      <c r="B174" s="12" t="e">
        <f aca="false">IF(F174=MIN(F$162:F$362),1,0)</f>
        <v>#VALUE!</v>
      </c>
      <c r="C174" s="0" t="n">
        <v>12</v>
      </c>
      <c r="D174" s="0" t="n">
        <v>63</v>
      </c>
      <c r="E174" s="0" t="n">
        <f aca="false">2*D174</f>
        <v>126</v>
      </c>
      <c r="F174" s="0" t="e">
        <f aca="false">ABS(B$160-E174)</f>
        <v>#VALUE!</v>
      </c>
    </row>
    <row r="175" customFormat="false" ht="12.75" hidden="true" customHeight="false" outlineLevel="0" collapsed="false">
      <c r="B175" s="12" t="e">
        <f aca="false">IF(F175=MIN(F$162:F$362),1,0)</f>
        <v>#VALUE!</v>
      </c>
      <c r="C175" s="0" t="n">
        <v>13</v>
      </c>
      <c r="D175" s="0" t="n">
        <v>65</v>
      </c>
      <c r="E175" s="0" t="n">
        <f aca="false">2*D175</f>
        <v>130</v>
      </c>
      <c r="F175" s="0" t="e">
        <f aca="false">ABS(B$160-E175)</f>
        <v>#VALUE!</v>
      </c>
    </row>
    <row r="176" customFormat="false" ht="12.75" hidden="true" customHeight="false" outlineLevel="0" collapsed="false">
      <c r="B176" s="12" t="e">
        <f aca="false">IF(F176=MIN(F$162:F$362),1,0)</f>
        <v>#VALUE!</v>
      </c>
      <c r="C176" s="0" t="n">
        <v>14</v>
      </c>
      <c r="D176" s="0" t="n">
        <v>67</v>
      </c>
      <c r="E176" s="0" t="n">
        <f aca="false">2*D176</f>
        <v>134</v>
      </c>
      <c r="F176" s="0" t="e">
        <f aca="false">ABS(B$160-E176)</f>
        <v>#VALUE!</v>
      </c>
    </row>
    <row r="177" customFormat="false" ht="12.75" hidden="true" customHeight="false" outlineLevel="0" collapsed="false">
      <c r="B177" s="12" t="e">
        <f aca="false">IF(F177=MIN(F$162:F$362),1,0)</f>
        <v>#VALUE!</v>
      </c>
      <c r="C177" s="0" t="n">
        <v>15</v>
      </c>
      <c r="D177" s="0" t="n">
        <v>69</v>
      </c>
      <c r="E177" s="0" t="n">
        <f aca="false">2*D177</f>
        <v>138</v>
      </c>
      <c r="F177" s="0" t="e">
        <f aca="false">ABS(B$160-E177)</f>
        <v>#VALUE!</v>
      </c>
    </row>
    <row r="178" customFormat="false" ht="12.75" hidden="true" customHeight="false" outlineLevel="0" collapsed="false">
      <c r="B178" s="12" t="e">
        <f aca="false">IF(F178=MIN(F$162:F$362),1,0)</f>
        <v>#VALUE!</v>
      </c>
      <c r="C178" s="0" t="n">
        <v>16</v>
      </c>
      <c r="D178" s="0" t="n">
        <v>71</v>
      </c>
      <c r="E178" s="0" t="n">
        <f aca="false">2*D178</f>
        <v>142</v>
      </c>
      <c r="F178" s="0" t="e">
        <f aca="false">ABS(B$160-E178)</f>
        <v>#VALUE!</v>
      </c>
    </row>
    <row r="179" customFormat="false" ht="12.75" hidden="true" customHeight="false" outlineLevel="0" collapsed="false">
      <c r="B179" s="12" t="e">
        <f aca="false">IF(F179=MIN(F$162:F$362),1,0)</f>
        <v>#VALUE!</v>
      </c>
      <c r="C179" s="0" t="n">
        <v>17</v>
      </c>
      <c r="D179" s="0" t="n">
        <v>73</v>
      </c>
      <c r="E179" s="0" t="n">
        <f aca="false">2*D179</f>
        <v>146</v>
      </c>
      <c r="F179" s="0" t="e">
        <f aca="false">ABS(B$160-E179)</f>
        <v>#VALUE!</v>
      </c>
    </row>
    <row r="180" customFormat="false" ht="12.75" hidden="true" customHeight="false" outlineLevel="0" collapsed="false">
      <c r="B180" s="12" t="e">
        <f aca="false">IF(F180=MIN(F$162:F$362),1,0)</f>
        <v>#VALUE!</v>
      </c>
      <c r="C180" s="0" t="n">
        <v>18</v>
      </c>
      <c r="D180" s="0" t="n">
        <v>75</v>
      </c>
      <c r="E180" s="0" t="n">
        <f aca="false">2*D180</f>
        <v>150</v>
      </c>
      <c r="F180" s="0" t="e">
        <f aca="false">ABS(B$160-E180)</f>
        <v>#VALUE!</v>
      </c>
    </row>
    <row r="181" customFormat="false" ht="12.75" hidden="true" customHeight="false" outlineLevel="0" collapsed="false">
      <c r="B181" s="12" t="e">
        <f aca="false">IF(F181=MIN(F$162:F$362),1,0)</f>
        <v>#VALUE!</v>
      </c>
      <c r="C181" s="0" t="n">
        <v>19</v>
      </c>
      <c r="D181" s="0" t="n">
        <v>77.5</v>
      </c>
      <c r="E181" s="0" t="n">
        <f aca="false">2*D181</f>
        <v>155</v>
      </c>
      <c r="F181" s="0" t="e">
        <f aca="false">ABS(B$160-E181)</f>
        <v>#VALUE!</v>
      </c>
    </row>
    <row r="182" customFormat="false" ht="12.75" hidden="true" customHeight="false" outlineLevel="0" collapsed="false">
      <c r="B182" s="12" t="e">
        <f aca="false">IF(F182=MIN(F$162:F$362),1,0)</f>
        <v>#VALUE!</v>
      </c>
      <c r="C182" s="0" t="n">
        <v>20</v>
      </c>
      <c r="D182" s="0" t="n">
        <v>80</v>
      </c>
      <c r="E182" s="0" t="n">
        <f aca="false">2*D182</f>
        <v>160</v>
      </c>
      <c r="F182" s="0" t="e">
        <f aca="false">ABS(B$160-E182)</f>
        <v>#VALUE!</v>
      </c>
    </row>
    <row r="183" customFormat="false" ht="12.75" hidden="true" customHeight="false" outlineLevel="0" collapsed="false">
      <c r="B183" s="12" t="e">
        <f aca="false">IF(F183=MIN(F$162:F$362),1,0)</f>
        <v>#VALUE!</v>
      </c>
      <c r="C183" s="0" t="n">
        <v>21</v>
      </c>
      <c r="D183" s="0" t="n">
        <v>82.5</v>
      </c>
      <c r="E183" s="0" t="n">
        <f aca="false">2*D183</f>
        <v>165</v>
      </c>
      <c r="F183" s="0" t="e">
        <f aca="false">ABS(B$160-E183)</f>
        <v>#VALUE!</v>
      </c>
    </row>
    <row r="184" customFormat="false" ht="12.75" hidden="true" customHeight="false" outlineLevel="0" collapsed="false">
      <c r="B184" s="12" t="e">
        <f aca="false">IF(F184=MIN(F$162:F$362),1,0)</f>
        <v>#VALUE!</v>
      </c>
      <c r="C184" s="0" t="n">
        <v>22</v>
      </c>
      <c r="D184" s="0" t="n">
        <v>85</v>
      </c>
      <c r="E184" s="0" t="n">
        <f aca="false">2*D184</f>
        <v>170</v>
      </c>
      <c r="F184" s="0" t="e">
        <f aca="false">ABS(B$160-E184)</f>
        <v>#VALUE!</v>
      </c>
    </row>
    <row r="185" customFormat="false" ht="12.75" hidden="true" customHeight="false" outlineLevel="0" collapsed="false">
      <c r="B185" s="12" t="e">
        <f aca="false">IF(F185=MIN(F$162:F$362),1,0)</f>
        <v>#VALUE!</v>
      </c>
      <c r="C185" s="0" t="n">
        <v>23</v>
      </c>
      <c r="D185" s="0" t="n">
        <v>87.5</v>
      </c>
      <c r="E185" s="0" t="n">
        <f aca="false">2*D185</f>
        <v>175</v>
      </c>
      <c r="F185" s="0" t="e">
        <f aca="false">ABS(B$160-E185)</f>
        <v>#VALUE!</v>
      </c>
    </row>
    <row r="186" customFormat="false" ht="12.75" hidden="true" customHeight="false" outlineLevel="0" collapsed="false">
      <c r="B186" s="12" t="e">
        <f aca="false">IF(F186=MIN(F$162:F$362),1,0)</f>
        <v>#VALUE!</v>
      </c>
      <c r="C186" s="0" t="n">
        <v>24</v>
      </c>
      <c r="D186" s="0" t="n">
        <v>90</v>
      </c>
      <c r="E186" s="0" t="n">
        <f aca="false">2*D186</f>
        <v>180</v>
      </c>
      <c r="F186" s="0" t="e">
        <f aca="false">ABS(B$160-E186)</f>
        <v>#VALUE!</v>
      </c>
    </row>
    <row r="187" customFormat="false" ht="12.75" hidden="true" customHeight="false" outlineLevel="0" collapsed="false">
      <c r="B187" s="12" t="e">
        <f aca="false">IF(F187=MIN(F$162:F$362),1,0)</f>
        <v>#VALUE!</v>
      </c>
      <c r="C187" s="0" t="n">
        <v>25</v>
      </c>
      <c r="D187" s="0" t="n">
        <v>92.5</v>
      </c>
      <c r="E187" s="0" t="n">
        <f aca="false">2*D187</f>
        <v>185</v>
      </c>
      <c r="F187" s="0" t="e">
        <f aca="false">ABS(B$160-E187)</f>
        <v>#VALUE!</v>
      </c>
    </row>
    <row r="188" customFormat="false" ht="12.75" hidden="true" customHeight="false" outlineLevel="0" collapsed="false">
      <c r="B188" s="12" t="e">
        <f aca="false">IF(F188=MIN(F$162:F$362),1,0)</f>
        <v>#VALUE!</v>
      </c>
      <c r="C188" s="0" t="n">
        <v>26</v>
      </c>
      <c r="D188" s="0" t="n">
        <v>95</v>
      </c>
      <c r="E188" s="0" t="n">
        <f aca="false">2*D188</f>
        <v>190</v>
      </c>
      <c r="F188" s="0" t="e">
        <f aca="false">ABS(B$160-E188)</f>
        <v>#VALUE!</v>
      </c>
    </row>
    <row r="189" customFormat="false" ht="12.75" hidden="true" customHeight="false" outlineLevel="0" collapsed="false">
      <c r="B189" s="12" t="e">
        <f aca="false">IF(F189=MIN(F$162:F$362),1,0)</f>
        <v>#VALUE!</v>
      </c>
      <c r="C189" s="0" t="n">
        <v>27</v>
      </c>
      <c r="D189" s="0" t="n">
        <v>97.5</v>
      </c>
      <c r="E189" s="0" t="n">
        <f aca="false">2*D189</f>
        <v>195</v>
      </c>
      <c r="F189" s="0" t="e">
        <f aca="false">ABS(B$160-E189)</f>
        <v>#VALUE!</v>
      </c>
    </row>
    <row r="190" customFormat="false" ht="12.75" hidden="true" customHeight="false" outlineLevel="0" collapsed="false">
      <c r="B190" s="12" t="e">
        <f aca="false">IF(F190=MIN(F$162:F$362),1,0)</f>
        <v>#VALUE!</v>
      </c>
      <c r="C190" s="0" t="n">
        <v>28</v>
      </c>
      <c r="D190" s="0" t="n">
        <v>100</v>
      </c>
      <c r="E190" s="0" t="n">
        <f aca="false">2*D190</f>
        <v>200</v>
      </c>
      <c r="F190" s="0" t="e">
        <f aca="false">ABS(B$160-E190)</f>
        <v>#VALUE!</v>
      </c>
    </row>
    <row r="191" customFormat="false" ht="12.75" hidden="true" customHeight="false" outlineLevel="0" collapsed="false">
      <c r="B191" s="12" t="e">
        <f aca="false">IF(F191=MIN(F$162:F$362),1,0)</f>
        <v>#VALUE!</v>
      </c>
      <c r="C191" s="0" t="n">
        <v>29</v>
      </c>
      <c r="D191" s="0" t="n">
        <v>103</v>
      </c>
      <c r="E191" s="0" t="n">
        <f aca="false">2*D191</f>
        <v>206</v>
      </c>
      <c r="F191" s="0" t="e">
        <f aca="false">ABS(B$160-E191)</f>
        <v>#VALUE!</v>
      </c>
    </row>
    <row r="192" customFormat="false" ht="12.75" hidden="true" customHeight="false" outlineLevel="0" collapsed="false">
      <c r="B192" s="12" t="e">
        <f aca="false">IF(F192=MIN(F$162:F$362),1,0)</f>
        <v>#VALUE!</v>
      </c>
      <c r="C192" s="0" t="n">
        <v>30</v>
      </c>
      <c r="D192" s="0" t="n">
        <v>106</v>
      </c>
      <c r="E192" s="0" t="n">
        <f aca="false">2*D192</f>
        <v>212</v>
      </c>
      <c r="F192" s="0" t="e">
        <f aca="false">ABS(B$160-E192)</f>
        <v>#VALUE!</v>
      </c>
    </row>
    <row r="193" customFormat="false" ht="12.75" hidden="true" customHeight="false" outlineLevel="0" collapsed="false">
      <c r="B193" s="12" t="e">
        <f aca="false">IF(F193=MIN(F$162:F$362),1,0)</f>
        <v>#VALUE!</v>
      </c>
      <c r="C193" s="0" t="n">
        <v>31</v>
      </c>
      <c r="D193" s="0" t="n">
        <v>109</v>
      </c>
      <c r="E193" s="0" t="n">
        <f aca="false">2*D193</f>
        <v>218</v>
      </c>
      <c r="F193" s="0" t="e">
        <f aca="false">ABS(B$160-E193)</f>
        <v>#VALUE!</v>
      </c>
    </row>
    <row r="194" customFormat="false" ht="12.75" hidden="true" customHeight="false" outlineLevel="0" collapsed="false">
      <c r="B194" s="12" t="e">
        <f aca="false">IF(F194=MIN(F$162:F$362),1,0)</f>
        <v>#VALUE!</v>
      </c>
      <c r="C194" s="0" t="n">
        <v>32</v>
      </c>
      <c r="D194" s="0" t="n">
        <v>112</v>
      </c>
      <c r="E194" s="0" t="n">
        <f aca="false">2*D194</f>
        <v>224</v>
      </c>
      <c r="F194" s="0" t="e">
        <f aca="false">ABS(B$160-E194)</f>
        <v>#VALUE!</v>
      </c>
    </row>
    <row r="195" customFormat="false" ht="12.75" hidden="true" customHeight="false" outlineLevel="0" collapsed="false">
      <c r="B195" s="12" t="e">
        <f aca="false">IF(F195=MIN(F$162:F$362),1,0)</f>
        <v>#VALUE!</v>
      </c>
      <c r="C195" s="0" t="n">
        <v>33</v>
      </c>
      <c r="D195" s="0" t="n">
        <v>115</v>
      </c>
      <c r="E195" s="0" t="n">
        <f aca="false">2*D195</f>
        <v>230</v>
      </c>
      <c r="F195" s="0" t="e">
        <f aca="false">ABS(B$160-E195)</f>
        <v>#VALUE!</v>
      </c>
    </row>
    <row r="196" customFormat="false" ht="12.75" hidden="true" customHeight="false" outlineLevel="0" collapsed="false">
      <c r="B196" s="12" t="e">
        <f aca="false">IF(F196=MIN(F$162:F$362),1,0)</f>
        <v>#VALUE!</v>
      </c>
      <c r="C196" s="0" t="n">
        <v>34</v>
      </c>
      <c r="D196" s="0" t="n">
        <v>118</v>
      </c>
      <c r="E196" s="0" t="n">
        <f aca="false">2*D196</f>
        <v>236</v>
      </c>
      <c r="F196" s="0" t="e">
        <f aca="false">ABS(B$160-E196)</f>
        <v>#VALUE!</v>
      </c>
    </row>
    <row r="197" customFormat="false" ht="12.75" hidden="true" customHeight="false" outlineLevel="0" collapsed="false">
      <c r="B197" s="12" t="e">
        <f aca="false">IF(F197=MIN(F$162:F$362),1,0)</f>
        <v>#VALUE!</v>
      </c>
      <c r="C197" s="0" t="n">
        <v>35</v>
      </c>
      <c r="D197" s="0" t="n">
        <v>121</v>
      </c>
      <c r="E197" s="0" t="n">
        <f aca="false">2*D197</f>
        <v>242</v>
      </c>
      <c r="F197" s="0" t="e">
        <f aca="false">ABS(B$160-E197)</f>
        <v>#VALUE!</v>
      </c>
    </row>
    <row r="198" customFormat="false" ht="12.75" hidden="true" customHeight="false" outlineLevel="0" collapsed="false">
      <c r="B198" s="12" t="e">
        <f aca="false">IF(F198=MIN(F$162:F$362),1,0)</f>
        <v>#VALUE!</v>
      </c>
      <c r="C198" s="0" t="n">
        <v>36</v>
      </c>
      <c r="D198" s="0" t="n">
        <v>125</v>
      </c>
      <c r="E198" s="0" t="n">
        <f aca="false">2*D198</f>
        <v>250</v>
      </c>
      <c r="F198" s="0" t="e">
        <f aca="false">ABS(B$160-E198)</f>
        <v>#VALUE!</v>
      </c>
    </row>
    <row r="199" customFormat="false" ht="12.75" hidden="true" customHeight="false" outlineLevel="0" collapsed="false">
      <c r="B199" s="12" t="e">
        <f aca="false">IF(F199=MIN(F$162:F$362),1,0)</f>
        <v>#VALUE!</v>
      </c>
      <c r="C199" s="0" t="n">
        <v>37</v>
      </c>
      <c r="D199" s="0" t="n">
        <v>128</v>
      </c>
      <c r="E199" s="0" t="n">
        <f aca="false">2*D199</f>
        <v>256</v>
      </c>
      <c r="F199" s="0" t="e">
        <f aca="false">ABS(B$160-E199)</f>
        <v>#VALUE!</v>
      </c>
    </row>
    <row r="200" customFormat="false" ht="12.75" hidden="true" customHeight="false" outlineLevel="0" collapsed="false">
      <c r="B200" s="12" t="e">
        <f aca="false">IF(F200=MIN(F$162:F$362),1,0)</f>
        <v>#VALUE!</v>
      </c>
      <c r="C200" s="0" t="n">
        <v>38</v>
      </c>
      <c r="D200" s="0" t="n">
        <v>132</v>
      </c>
      <c r="E200" s="0" t="n">
        <f aca="false">2*D200</f>
        <v>264</v>
      </c>
      <c r="F200" s="0" t="e">
        <f aca="false">ABS(B$160-E200)</f>
        <v>#VALUE!</v>
      </c>
    </row>
    <row r="201" customFormat="false" ht="12.75" hidden="true" customHeight="false" outlineLevel="0" collapsed="false">
      <c r="B201" s="12" t="e">
        <f aca="false">IF(F201=MIN(F$162:F$362),1,0)</f>
        <v>#VALUE!</v>
      </c>
      <c r="C201" s="0" t="n">
        <v>39</v>
      </c>
      <c r="D201" s="0" t="n">
        <v>136</v>
      </c>
      <c r="E201" s="0" t="n">
        <f aca="false">2*D201</f>
        <v>272</v>
      </c>
      <c r="F201" s="0" t="e">
        <f aca="false">ABS(B$160-E201)</f>
        <v>#VALUE!</v>
      </c>
    </row>
    <row r="202" customFormat="false" ht="12.75" hidden="true" customHeight="false" outlineLevel="0" collapsed="false">
      <c r="B202" s="12" t="e">
        <f aca="false">IF(F202=MIN(F$162:F$362),1,0)</f>
        <v>#VALUE!</v>
      </c>
      <c r="C202" s="0" t="n">
        <v>40</v>
      </c>
      <c r="D202" s="0" t="n">
        <v>140</v>
      </c>
      <c r="E202" s="0" t="n">
        <f aca="false">2*D202</f>
        <v>280</v>
      </c>
      <c r="F202" s="0" t="e">
        <f aca="false">ABS(B$160-E202)</f>
        <v>#VALUE!</v>
      </c>
    </row>
    <row r="203" customFormat="false" ht="12.75" hidden="true" customHeight="false" outlineLevel="0" collapsed="false">
      <c r="B203" s="12" t="e">
        <f aca="false">IF(F203=MIN(F$162:F$362),1,0)</f>
        <v>#VALUE!</v>
      </c>
      <c r="C203" s="0" t="n">
        <v>41</v>
      </c>
      <c r="D203" s="0" t="n">
        <v>145</v>
      </c>
      <c r="E203" s="0" t="n">
        <f aca="false">2*D203</f>
        <v>290</v>
      </c>
      <c r="F203" s="0" t="e">
        <f aca="false">ABS(B$160-E203)</f>
        <v>#VALUE!</v>
      </c>
    </row>
    <row r="204" customFormat="false" ht="12.75" hidden="true" customHeight="false" outlineLevel="0" collapsed="false">
      <c r="B204" s="12" t="e">
        <f aca="false">IF(F204=MIN(F$162:F$362),1,0)</f>
        <v>#VALUE!</v>
      </c>
      <c r="C204" s="0" t="n">
        <v>42</v>
      </c>
      <c r="D204" s="0" t="n">
        <v>150</v>
      </c>
      <c r="E204" s="0" t="n">
        <f aca="false">2*D204</f>
        <v>300</v>
      </c>
      <c r="F204" s="0" t="e">
        <f aca="false">ABS(B$160-E204)</f>
        <v>#VALUE!</v>
      </c>
    </row>
    <row r="205" customFormat="false" ht="12.75" hidden="true" customHeight="false" outlineLevel="0" collapsed="false">
      <c r="B205" s="12" t="e">
        <f aca="false">IF(F205=MIN(F$162:F$362),1,0)</f>
        <v>#VALUE!</v>
      </c>
      <c r="C205" s="0" t="n">
        <v>43</v>
      </c>
      <c r="D205" s="0" t="n">
        <v>155</v>
      </c>
      <c r="E205" s="0" t="n">
        <f aca="false">2*D205</f>
        <v>310</v>
      </c>
      <c r="F205" s="0" t="e">
        <f aca="false">ABS(B$160-E205)</f>
        <v>#VALUE!</v>
      </c>
    </row>
    <row r="206" customFormat="false" ht="12.75" hidden="true" customHeight="false" outlineLevel="0" collapsed="false">
      <c r="B206" s="12" t="e">
        <f aca="false">IF(F206=MIN(F$162:F$362),1,0)</f>
        <v>#VALUE!</v>
      </c>
      <c r="C206" s="0" t="n">
        <v>44</v>
      </c>
      <c r="D206" s="0" t="n">
        <v>160</v>
      </c>
      <c r="E206" s="0" t="n">
        <f aca="false">2*D206</f>
        <v>320</v>
      </c>
      <c r="F206" s="0" t="e">
        <f aca="false">ABS(B$160-E206)</f>
        <v>#VALUE!</v>
      </c>
    </row>
    <row r="207" customFormat="false" ht="12.75" hidden="true" customHeight="false" outlineLevel="0" collapsed="false">
      <c r="B207" s="12" t="e">
        <f aca="false">IF(F207=MIN(F$162:F$362),1,0)</f>
        <v>#VALUE!</v>
      </c>
      <c r="C207" s="0" t="n">
        <v>45</v>
      </c>
      <c r="D207" s="0" t="n">
        <v>165</v>
      </c>
      <c r="E207" s="0" t="n">
        <f aca="false">2*D207</f>
        <v>330</v>
      </c>
      <c r="F207" s="0" t="e">
        <f aca="false">ABS(B$160-E207)</f>
        <v>#VALUE!</v>
      </c>
    </row>
    <row r="208" customFormat="false" ht="12.75" hidden="true" customHeight="false" outlineLevel="0" collapsed="false">
      <c r="B208" s="12" t="e">
        <f aca="false">IF(F208=MIN(F$162:F$362),1,0)</f>
        <v>#VALUE!</v>
      </c>
      <c r="C208" s="0" t="n">
        <v>46</v>
      </c>
      <c r="D208" s="0" t="n">
        <v>170</v>
      </c>
      <c r="E208" s="0" t="n">
        <f aca="false">2*D208</f>
        <v>340</v>
      </c>
      <c r="F208" s="0" t="e">
        <f aca="false">ABS(B$160-E208)</f>
        <v>#VALUE!</v>
      </c>
    </row>
    <row r="209" customFormat="false" ht="12.75" hidden="true" customHeight="false" outlineLevel="0" collapsed="false">
      <c r="B209" s="12" t="e">
        <f aca="false">IF(F209=MIN(F$162:F$362),1,0)</f>
        <v>#VALUE!</v>
      </c>
      <c r="C209" s="0" t="n">
        <v>47</v>
      </c>
      <c r="D209" s="0" t="n">
        <v>175</v>
      </c>
      <c r="E209" s="0" t="n">
        <f aca="false">2*D209</f>
        <v>350</v>
      </c>
      <c r="F209" s="0" t="e">
        <f aca="false">ABS(B$160-E209)</f>
        <v>#VALUE!</v>
      </c>
    </row>
    <row r="210" customFormat="false" ht="12.75" hidden="true" customHeight="false" outlineLevel="0" collapsed="false">
      <c r="B210" s="12" t="e">
        <f aca="false">IF(F210=MIN(F$162:F$362),1,0)</f>
        <v>#VALUE!</v>
      </c>
      <c r="C210" s="0" t="n">
        <v>48</v>
      </c>
      <c r="D210" s="0" t="n">
        <v>180</v>
      </c>
      <c r="E210" s="0" t="n">
        <f aca="false">2*D210</f>
        <v>360</v>
      </c>
      <c r="F210" s="0" t="e">
        <f aca="false">ABS(B$160-E210)</f>
        <v>#VALUE!</v>
      </c>
    </row>
    <row r="211" customFormat="false" ht="12.75" hidden="true" customHeight="false" outlineLevel="0" collapsed="false">
      <c r="B211" s="12" t="e">
        <f aca="false">IF(F211=MIN(F$162:F$362),1,0)</f>
        <v>#VALUE!</v>
      </c>
      <c r="C211" s="0" t="n">
        <v>49</v>
      </c>
      <c r="D211" s="0" t="n">
        <v>185</v>
      </c>
      <c r="E211" s="0" t="n">
        <f aca="false">2*D211</f>
        <v>370</v>
      </c>
      <c r="F211" s="0" t="e">
        <f aca="false">ABS(B$160-E211)</f>
        <v>#VALUE!</v>
      </c>
    </row>
    <row r="212" customFormat="false" ht="12.75" hidden="true" customHeight="false" outlineLevel="0" collapsed="false">
      <c r="B212" s="12" t="e">
        <f aca="false">IF(F212=MIN(F$162:F$362),1,0)</f>
        <v>#VALUE!</v>
      </c>
      <c r="C212" s="0" t="n">
        <v>50</v>
      </c>
      <c r="D212" s="0" t="n">
        <v>190</v>
      </c>
      <c r="E212" s="0" t="n">
        <f aca="false">2*D212</f>
        <v>380</v>
      </c>
      <c r="F212" s="0" t="e">
        <f aca="false">ABS(B$160-E212)</f>
        <v>#VALUE!</v>
      </c>
    </row>
    <row r="213" customFormat="false" ht="12.75" hidden="true" customHeight="false" outlineLevel="0" collapsed="false">
      <c r="B213" s="12" t="e">
        <f aca="false">IF(F213=MIN(F$162:F$362),1,0)</f>
        <v>#VALUE!</v>
      </c>
      <c r="C213" s="0" t="n">
        <v>51</v>
      </c>
      <c r="D213" s="0" t="n">
        <v>195</v>
      </c>
      <c r="E213" s="0" t="n">
        <f aca="false">2*D213</f>
        <v>390</v>
      </c>
      <c r="F213" s="0" t="e">
        <f aca="false">ABS(B$160-E213)</f>
        <v>#VALUE!</v>
      </c>
    </row>
    <row r="214" customFormat="false" ht="12.75" hidden="true" customHeight="false" outlineLevel="0" collapsed="false">
      <c r="B214" s="12" t="e">
        <f aca="false">IF(F214=MIN(F$162:F$362),1,0)</f>
        <v>#VALUE!</v>
      </c>
      <c r="C214" s="0" t="n">
        <v>52</v>
      </c>
      <c r="D214" s="0" t="n">
        <v>200</v>
      </c>
      <c r="E214" s="0" t="n">
        <f aca="false">2*D214</f>
        <v>400</v>
      </c>
      <c r="F214" s="0" t="e">
        <f aca="false">ABS(B$160-E214)</f>
        <v>#VALUE!</v>
      </c>
    </row>
    <row r="215" customFormat="false" ht="12.75" hidden="true" customHeight="false" outlineLevel="0" collapsed="false">
      <c r="B215" s="12" t="e">
        <f aca="false">IF(F215=MIN(F$162:F$362),1,0)</f>
        <v>#VALUE!</v>
      </c>
      <c r="C215" s="0" t="n">
        <v>53</v>
      </c>
      <c r="D215" s="0" t="n">
        <v>206</v>
      </c>
      <c r="E215" s="0" t="n">
        <f aca="false">2*D215</f>
        <v>412</v>
      </c>
      <c r="F215" s="0" t="e">
        <f aca="false">ABS(B$160-E215)</f>
        <v>#VALUE!</v>
      </c>
    </row>
    <row r="216" customFormat="false" ht="12.75" hidden="true" customHeight="false" outlineLevel="0" collapsed="false">
      <c r="B216" s="12" t="e">
        <f aca="false">IF(F216=MIN(F$162:F$362),1,0)</f>
        <v>#VALUE!</v>
      </c>
      <c r="C216" s="0" t="n">
        <v>54</v>
      </c>
      <c r="D216" s="0" t="n">
        <v>212</v>
      </c>
      <c r="E216" s="0" t="n">
        <f aca="false">2*D216</f>
        <v>424</v>
      </c>
      <c r="F216" s="0" t="e">
        <f aca="false">ABS(B$160-E216)</f>
        <v>#VALUE!</v>
      </c>
    </row>
    <row r="217" customFormat="false" ht="12.75" hidden="true" customHeight="false" outlineLevel="0" collapsed="false">
      <c r="B217" s="12" t="e">
        <f aca="false">IF(F217=MIN(F$162:F$362),1,0)</f>
        <v>#VALUE!</v>
      </c>
      <c r="C217" s="0" t="n">
        <v>55</v>
      </c>
      <c r="D217" s="0" t="n">
        <v>218</v>
      </c>
      <c r="E217" s="0" t="n">
        <f aca="false">2*D217</f>
        <v>436</v>
      </c>
      <c r="F217" s="0" t="e">
        <f aca="false">ABS(B$160-E217)</f>
        <v>#VALUE!</v>
      </c>
    </row>
    <row r="218" customFormat="false" ht="12.75" hidden="true" customHeight="false" outlineLevel="0" collapsed="false">
      <c r="B218" s="12" t="e">
        <f aca="false">IF(F218=MIN(F$162:F$362),1,0)</f>
        <v>#VALUE!</v>
      </c>
      <c r="C218" s="0" t="n">
        <v>56</v>
      </c>
      <c r="D218" s="0" t="n">
        <v>224</v>
      </c>
      <c r="E218" s="0" t="n">
        <f aca="false">2*D218</f>
        <v>448</v>
      </c>
      <c r="F218" s="0" t="e">
        <f aca="false">ABS(B$160-E218)</f>
        <v>#VALUE!</v>
      </c>
    </row>
    <row r="219" customFormat="false" ht="12.75" hidden="true" customHeight="false" outlineLevel="0" collapsed="false">
      <c r="B219" s="12" t="e">
        <f aca="false">IF(F219=MIN(F$162:F$362),1,0)</f>
        <v>#VALUE!</v>
      </c>
      <c r="C219" s="0" t="n">
        <v>57</v>
      </c>
      <c r="D219" s="0" t="n">
        <v>230</v>
      </c>
      <c r="E219" s="0" t="n">
        <f aca="false">2*D219</f>
        <v>460</v>
      </c>
      <c r="F219" s="0" t="e">
        <f aca="false">ABS(B$160-E219)</f>
        <v>#VALUE!</v>
      </c>
    </row>
    <row r="220" customFormat="false" ht="12.75" hidden="true" customHeight="false" outlineLevel="0" collapsed="false">
      <c r="B220" s="12" t="e">
        <f aca="false">IF(F220=MIN(F$162:F$362),1,0)</f>
        <v>#VALUE!</v>
      </c>
      <c r="C220" s="0" t="n">
        <v>58</v>
      </c>
      <c r="D220" s="0" t="n">
        <v>236</v>
      </c>
      <c r="E220" s="0" t="n">
        <f aca="false">2*D220</f>
        <v>472</v>
      </c>
      <c r="F220" s="0" t="e">
        <f aca="false">ABS(B$160-E220)</f>
        <v>#VALUE!</v>
      </c>
    </row>
    <row r="221" customFormat="false" ht="12.75" hidden="true" customHeight="false" outlineLevel="0" collapsed="false">
      <c r="B221" s="12" t="e">
        <f aca="false">IF(F221=MIN(F$162:F$362),1,0)</f>
        <v>#VALUE!</v>
      </c>
      <c r="C221" s="0" t="n">
        <v>59</v>
      </c>
      <c r="D221" s="0" t="n">
        <v>240</v>
      </c>
      <c r="E221" s="0" t="n">
        <f aca="false">2*D221</f>
        <v>480</v>
      </c>
      <c r="F221" s="0" t="e">
        <f aca="false">ABS(B$160-E221)</f>
        <v>#VALUE!</v>
      </c>
    </row>
    <row r="222" customFormat="false" ht="12.75" hidden="true" customHeight="false" outlineLevel="0" collapsed="false">
      <c r="B222" s="12" t="e">
        <f aca="false">IF(F222=MIN(F$162:F$362),1,0)</f>
        <v>#VALUE!</v>
      </c>
      <c r="C222" s="0" t="n">
        <v>60</v>
      </c>
      <c r="D222" s="0" t="n">
        <v>250</v>
      </c>
      <c r="E222" s="0" t="n">
        <f aca="false">2*D222</f>
        <v>500</v>
      </c>
      <c r="F222" s="0" t="e">
        <f aca="false">ABS(B$160-E222)</f>
        <v>#VALUE!</v>
      </c>
    </row>
    <row r="223" customFormat="false" ht="12.75" hidden="true" customHeight="false" outlineLevel="0" collapsed="false">
      <c r="B223" s="12" t="e">
        <f aca="false">IF(F223=MIN(F$162:F$362),1,0)</f>
        <v>#VALUE!</v>
      </c>
      <c r="C223" s="0" t="n">
        <v>61</v>
      </c>
      <c r="D223" s="0" t="n">
        <v>257</v>
      </c>
      <c r="E223" s="0" t="n">
        <f aca="false">2*D223</f>
        <v>514</v>
      </c>
      <c r="F223" s="0" t="e">
        <f aca="false">ABS(B$160-E223)</f>
        <v>#VALUE!</v>
      </c>
    </row>
    <row r="224" customFormat="false" ht="12.75" hidden="true" customHeight="false" outlineLevel="0" collapsed="false">
      <c r="B224" s="12" t="e">
        <f aca="false">IF(F224=MIN(F$162:F$362),1,0)</f>
        <v>#VALUE!</v>
      </c>
      <c r="C224" s="0" t="n">
        <v>62</v>
      </c>
      <c r="D224" s="0" t="n">
        <v>265</v>
      </c>
      <c r="E224" s="0" t="n">
        <f aca="false">2*D224</f>
        <v>530</v>
      </c>
      <c r="F224" s="0" t="e">
        <f aca="false">ABS(B$160-E224)</f>
        <v>#VALUE!</v>
      </c>
    </row>
    <row r="225" customFormat="false" ht="12.75" hidden="true" customHeight="false" outlineLevel="0" collapsed="false">
      <c r="B225" s="12" t="e">
        <f aca="false">IF(F225=MIN(F$162:F$362),1,0)</f>
        <v>#VALUE!</v>
      </c>
      <c r="C225" s="0" t="n">
        <v>63</v>
      </c>
      <c r="D225" s="0" t="n">
        <v>272</v>
      </c>
      <c r="E225" s="0" t="n">
        <f aca="false">2*D225</f>
        <v>544</v>
      </c>
      <c r="F225" s="0" t="e">
        <f aca="false">ABS(B$160-E225)</f>
        <v>#VALUE!</v>
      </c>
    </row>
    <row r="226" customFormat="false" ht="12.75" hidden="true" customHeight="false" outlineLevel="0" collapsed="false">
      <c r="B226" s="12" t="e">
        <f aca="false">IF(F226=MIN(F$162:F$362),1,0)</f>
        <v>#VALUE!</v>
      </c>
      <c r="C226" s="0" t="n">
        <v>64</v>
      </c>
      <c r="D226" s="0" t="n">
        <v>280</v>
      </c>
      <c r="E226" s="0" t="n">
        <f aca="false">2*D226</f>
        <v>560</v>
      </c>
      <c r="F226" s="0" t="e">
        <f aca="false">ABS(B$160-E226)</f>
        <v>#VALUE!</v>
      </c>
    </row>
    <row r="227" customFormat="false" ht="12.75" hidden="true" customHeight="false" outlineLevel="0" collapsed="false">
      <c r="B227" s="12" t="e">
        <f aca="false">IF(F227=MIN(F$162:F$362),1,0)</f>
        <v>#VALUE!</v>
      </c>
      <c r="C227" s="0" t="n">
        <v>65</v>
      </c>
      <c r="D227" s="0" t="n">
        <v>290</v>
      </c>
      <c r="E227" s="0" t="n">
        <f aca="false">2*D227</f>
        <v>580</v>
      </c>
      <c r="F227" s="0" t="e">
        <f aca="false">ABS(B$160-E227)</f>
        <v>#VALUE!</v>
      </c>
    </row>
    <row r="228" customFormat="false" ht="12.75" hidden="true" customHeight="false" outlineLevel="0" collapsed="false">
      <c r="B228" s="12" t="e">
        <f aca="false">IF(F228=MIN(F$162:F$362),1,0)</f>
        <v>#VALUE!</v>
      </c>
      <c r="C228" s="0" t="n">
        <v>66</v>
      </c>
      <c r="D228" s="0" t="n">
        <v>300</v>
      </c>
      <c r="E228" s="0" t="n">
        <f aca="false">2*D228</f>
        <v>600</v>
      </c>
      <c r="F228" s="0" t="e">
        <f aca="false">ABS(B$160-E228)</f>
        <v>#VALUE!</v>
      </c>
    </row>
    <row r="229" customFormat="false" ht="12.75" hidden="true" customHeight="false" outlineLevel="0" collapsed="false">
      <c r="B229" s="12" t="e">
        <f aca="false">IF(F229=MIN(F$162:F$362),1,0)</f>
        <v>#VALUE!</v>
      </c>
      <c r="C229" s="0" t="n">
        <v>67</v>
      </c>
      <c r="D229" s="0" t="n">
        <v>307</v>
      </c>
      <c r="E229" s="0" t="n">
        <f aca="false">2*D229</f>
        <v>614</v>
      </c>
      <c r="F229" s="0" t="e">
        <f aca="false">ABS(B$160-E229)</f>
        <v>#VALUE!</v>
      </c>
    </row>
    <row r="230" customFormat="false" ht="12.75" hidden="true" customHeight="false" outlineLevel="0" collapsed="false">
      <c r="B230" s="12" t="e">
        <f aca="false">IF(F230=MIN(F$162:F$362),1,0)</f>
        <v>#VALUE!</v>
      </c>
      <c r="C230" s="0" t="n">
        <v>68</v>
      </c>
      <c r="D230" s="0" t="n">
        <v>315</v>
      </c>
      <c r="E230" s="0" t="n">
        <f aca="false">2*D230</f>
        <v>630</v>
      </c>
      <c r="F230" s="0" t="e">
        <f aca="false">ABS(B$160-E230)</f>
        <v>#VALUE!</v>
      </c>
    </row>
    <row r="231" customFormat="false" ht="12.75" hidden="true" customHeight="false" outlineLevel="0" collapsed="false">
      <c r="B231" s="12" t="e">
        <f aca="false">IF(F231=MIN(F$162:F$362),1,0)</f>
        <v>#VALUE!</v>
      </c>
      <c r="C231" s="0" t="n">
        <v>69</v>
      </c>
      <c r="D231" s="0" t="n">
        <v>325</v>
      </c>
      <c r="E231" s="0" t="n">
        <f aca="false">2*D231</f>
        <v>650</v>
      </c>
      <c r="F231" s="0" t="e">
        <f aca="false">ABS(B$160-E231)</f>
        <v>#VALUE!</v>
      </c>
    </row>
    <row r="232" customFormat="false" ht="12.75" hidden="true" customHeight="false" outlineLevel="0" collapsed="false">
      <c r="B232" s="12" t="e">
        <f aca="false">IF(F232=MIN(F$162:F$362),1,0)</f>
        <v>#VALUE!</v>
      </c>
      <c r="C232" s="0" t="n">
        <v>70</v>
      </c>
      <c r="D232" s="0" t="n">
        <v>335</v>
      </c>
      <c r="E232" s="0" t="n">
        <f aca="false">2*D232</f>
        <v>670</v>
      </c>
      <c r="F232" s="0" t="e">
        <f aca="false">ABS(B$160-E232)</f>
        <v>#VALUE!</v>
      </c>
    </row>
    <row r="233" customFormat="false" ht="12.75" hidden="true" customHeight="false" outlineLevel="0" collapsed="false">
      <c r="B233" s="12" t="e">
        <f aca="false">IF(F233=MIN(F$162:F$362),1,0)</f>
        <v>#VALUE!</v>
      </c>
      <c r="C233" s="0" t="n">
        <v>71</v>
      </c>
      <c r="D233" s="0" t="n">
        <v>345</v>
      </c>
      <c r="E233" s="0" t="n">
        <f aca="false">2*D233</f>
        <v>690</v>
      </c>
      <c r="F233" s="0" t="e">
        <f aca="false">ABS(B$160-E233)</f>
        <v>#VALUE!</v>
      </c>
    </row>
    <row r="234" customFormat="false" ht="12.75" hidden="true" customHeight="false" outlineLevel="0" collapsed="false">
      <c r="B234" s="12" t="e">
        <f aca="false">IF(F234=MIN(F$162:F$362),1,0)</f>
        <v>#VALUE!</v>
      </c>
      <c r="C234" s="0" t="n">
        <v>72</v>
      </c>
      <c r="D234" s="0" t="n">
        <v>355</v>
      </c>
      <c r="E234" s="0" t="n">
        <f aca="false">2*D234</f>
        <v>710</v>
      </c>
      <c r="F234" s="0" t="e">
        <f aca="false">ABS(B$160-E234)</f>
        <v>#VALUE!</v>
      </c>
    </row>
    <row r="235" customFormat="false" ht="12.75" hidden="true" customHeight="false" outlineLevel="0" collapsed="false">
      <c r="B235" s="12" t="e">
        <f aca="false">IF(F235=MIN(F$162:F$362),1,0)</f>
        <v>#VALUE!</v>
      </c>
      <c r="C235" s="0" t="n">
        <v>73</v>
      </c>
      <c r="D235" s="0" t="n">
        <v>365</v>
      </c>
      <c r="E235" s="0" t="n">
        <f aca="false">2*D235</f>
        <v>730</v>
      </c>
      <c r="F235" s="0" t="e">
        <f aca="false">ABS(B$160-E235)</f>
        <v>#VALUE!</v>
      </c>
    </row>
    <row r="236" customFormat="false" ht="12.75" hidden="true" customHeight="false" outlineLevel="0" collapsed="false">
      <c r="B236" s="12" t="e">
        <f aca="false">IF(F236=MIN(F$162:F$362),1,0)</f>
        <v>#VALUE!</v>
      </c>
      <c r="C236" s="0" t="n">
        <v>74</v>
      </c>
      <c r="D236" s="0" t="n">
        <v>375</v>
      </c>
      <c r="E236" s="0" t="n">
        <f aca="false">2*D236</f>
        <v>750</v>
      </c>
      <c r="F236" s="0" t="e">
        <f aca="false">ABS(B$160-E236)</f>
        <v>#VALUE!</v>
      </c>
    </row>
    <row r="237" customFormat="false" ht="12.75" hidden="true" customHeight="false" outlineLevel="0" collapsed="false">
      <c r="B237" s="12" t="e">
        <f aca="false">IF(F237=MIN(F$162:F$362),1,0)</f>
        <v>#VALUE!</v>
      </c>
      <c r="C237" s="0" t="n">
        <v>75</v>
      </c>
      <c r="D237" s="0" t="n">
        <v>387</v>
      </c>
      <c r="E237" s="0" t="n">
        <f aca="false">2*D237</f>
        <v>774</v>
      </c>
      <c r="F237" s="0" t="e">
        <f aca="false">ABS(B$160-E237)</f>
        <v>#VALUE!</v>
      </c>
    </row>
    <row r="238" customFormat="false" ht="12.75" hidden="true" customHeight="false" outlineLevel="0" collapsed="false">
      <c r="B238" s="12" t="e">
        <f aca="false">IF(F238=MIN(F$162:F$362),1,0)</f>
        <v>#VALUE!</v>
      </c>
      <c r="C238" s="0" t="n">
        <v>76</v>
      </c>
      <c r="D238" s="0" t="n">
        <v>400</v>
      </c>
      <c r="E238" s="0" t="n">
        <f aca="false">2*D238</f>
        <v>800</v>
      </c>
      <c r="F238" s="0" t="e">
        <f aca="false">ABS(B$160-E238)</f>
        <v>#VALUE!</v>
      </c>
    </row>
    <row r="239" customFormat="false" ht="12.75" hidden="true" customHeight="false" outlineLevel="0" collapsed="false">
      <c r="B239" s="12" t="e">
        <f aca="false">IF(F239=MIN(F$162:F$362),1,0)</f>
        <v>#VALUE!</v>
      </c>
      <c r="C239" s="0" t="n">
        <v>77</v>
      </c>
      <c r="D239" s="0" t="n">
        <v>412</v>
      </c>
      <c r="E239" s="0" t="n">
        <f aca="false">2*D239</f>
        <v>824</v>
      </c>
      <c r="F239" s="0" t="e">
        <f aca="false">ABS(B$160-E239)</f>
        <v>#VALUE!</v>
      </c>
    </row>
    <row r="240" customFormat="false" ht="12.75" hidden="true" customHeight="false" outlineLevel="0" collapsed="false">
      <c r="B240" s="12" t="e">
        <f aca="false">IF(F240=MIN(F$162:F$362),1,0)</f>
        <v>#VALUE!</v>
      </c>
      <c r="C240" s="0" t="n">
        <v>78</v>
      </c>
      <c r="D240" s="0" t="n">
        <v>425</v>
      </c>
      <c r="E240" s="0" t="n">
        <f aca="false">2*D240</f>
        <v>850</v>
      </c>
      <c r="F240" s="0" t="e">
        <f aca="false">ABS(B$160-E240)</f>
        <v>#VALUE!</v>
      </c>
    </row>
    <row r="241" customFormat="false" ht="12.75" hidden="true" customHeight="false" outlineLevel="0" collapsed="false">
      <c r="B241" s="12" t="e">
        <f aca="false">IF(F241=MIN(F$162:F$362),1,0)</f>
        <v>#VALUE!</v>
      </c>
      <c r="C241" s="0" t="n">
        <v>79</v>
      </c>
      <c r="D241" s="0" t="n">
        <v>437</v>
      </c>
      <c r="E241" s="0" t="n">
        <f aca="false">2*D241</f>
        <v>874</v>
      </c>
      <c r="F241" s="0" t="e">
        <f aca="false">ABS(B$160-E241)</f>
        <v>#VALUE!</v>
      </c>
    </row>
    <row r="242" customFormat="false" ht="12.75" hidden="true" customHeight="false" outlineLevel="0" collapsed="false">
      <c r="B242" s="12" t="e">
        <f aca="false">IF(F242=MIN(F$162:F$362),1,0)</f>
        <v>#VALUE!</v>
      </c>
      <c r="C242" s="0" t="n">
        <v>80</v>
      </c>
      <c r="D242" s="0" t="n">
        <v>450</v>
      </c>
      <c r="E242" s="0" t="n">
        <f aca="false">2*D242</f>
        <v>900</v>
      </c>
      <c r="F242" s="0" t="e">
        <f aca="false">ABS(B$160-E242)</f>
        <v>#VALUE!</v>
      </c>
    </row>
    <row r="243" customFormat="false" ht="12.75" hidden="true" customHeight="false" outlineLevel="0" collapsed="false">
      <c r="B243" s="12" t="e">
        <f aca="false">IF(F243=MIN(F$162:F$362),1,0)</f>
        <v>#VALUE!</v>
      </c>
      <c r="C243" s="0" t="n">
        <v>81</v>
      </c>
      <c r="D243" s="0" t="n">
        <v>462</v>
      </c>
      <c r="E243" s="0" t="n">
        <f aca="false">2*D243</f>
        <v>924</v>
      </c>
      <c r="F243" s="0" t="e">
        <f aca="false">ABS(B$160-E243)</f>
        <v>#VALUE!</v>
      </c>
    </row>
    <row r="244" customFormat="false" ht="12.75" hidden="true" customHeight="false" outlineLevel="0" collapsed="false">
      <c r="B244" s="12" t="e">
        <f aca="false">IF(F244=MIN(F$162:F$362),1,0)</f>
        <v>#VALUE!</v>
      </c>
      <c r="C244" s="0" t="n">
        <v>82</v>
      </c>
      <c r="D244" s="0" t="n">
        <v>475</v>
      </c>
      <c r="E244" s="0" t="n">
        <f aca="false">2*D244</f>
        <v>950</v>
      </c>
      <c r="F244" s="0" t="e">
        <f aca="false">ABS(B$160-E244)</f>
        <v>#VALUE!</v>
      </c>
    </row>
    <row r="245" customFormat="false" ht="12.75" hidden="true" customHeight="false" outlineLevel="0" collapsed="false">
      <c r="B245" s="12" t="e">
        <f aca="false">IF(F245=MIN(F$162:F$362),1,0)</f>
        <v>#VALUE!</v>
      </c>
      <c r="C245" s="0" t="n">
        <v>83</v>
      </c>
      <c r="D245" s="0" t="n">
        <v>487</v>
      </c>
      <c r="E245" s="0" t="n">
        <f aca="false">2*D245</f>
        <v>974</v>
      </c>
      <c r="F245" s="0" t="e">
        <f aca="false">ABS(B$160-E245)</f>
        <v>#VALUE!</v>
      </c>
    </row>
    <row r="246" customFormat="false" ht="12.75" hidden="true" customHeight="false" outlineLevel="0" collapsed="false">
      <c r="B246" s="12" t="e">
        <f aca="false">IF(F246=MIN(F$162:F$362),1,0)</f>
        <v>#VALUE!</v>
      </c>
      <c r="C246" s="0" t="n">
        <v>84</v>
      </c>
      <c r="D246" s="0" t="n">
        <v>500</v>
      </c>
      <c r="E246" s="0" t="n">
        <f aca="false">2*D246</f>
        <v>1000</v>
      </c>
      <c r="F246" s="0" t="e">
        <f aca="false">ABS(B$160-E246)</f>
        <v>#VALUE!</v>
      </c>
    </row>
    <row r="247" customFormat="false" ht="12.75" hidden="true" customHeight="false" outlineLevel="0" collapsed="false">
      <c r="B247" s="12" t="e">
        <f aca="false">IF(F247=MIN(F$162:F$362),1,0)</f>
        <v>#VALUE!</v>
      </c>
      <c r="C247" s="0" t="n">
        <v>85</v>
      </c>
      <c r="D247" s="0" t="n">
        <v>515</v>
      </c>
      <c r="E247" s="0" t="n">
        <f aca="false">2*D247</f>
        <v>1030</v>
      </c>
      <c r="F247" s="0" t="e">
        <f aca="false">ABS(B$160-E247)</f>
        <v>#VALUE!</v>
      </c>
    </row>
    <row r="248" customFormat="false" ht="12.75" hidden="true" customHeight="false" outlineLevel="0" collapsed="false">
      <c r="B248" s="12" t="e">
        <f aca="false">IF(F248=MIN(F$162:F$362),1,0)</f>
        <v>#VALUE!</v>
      </c>
      <c r="C248" s="0" t="n">
        <v>86</v>
      </c>
      <c r="D248" s="0" t="n">
        <v>530</v>
      </c>
      <c r="E248" s="0" t="n">
        <f aca="false">2*D248</f>
        <v>1060</v>
      </c>
      <c r="F248" s="0" t="e">
        <f aca="false">ABS(B$160-E248)</f>
        <v>#VALUE!</v>
      </c>
    </row>
    <row r="249" customFormat="false" ht="12.75" hidden="true" customHeight="false" outlineLevel="0" collapsed="false">
      <c r="B249" s="12" t="e">
        <f aca="false">IF(F249=MIN(F$162:F$362),1,0)</f>
        <v>#VALUE!</v>
      </c>
      <c r="C249" s="0" t="n">
        <v>87</v>
      </c>
      <c r="D249" s="0" t="n">
        <v>545</v>
      </c>
      <c r="E249" s="0" t="n">
        <f aca="false">2*D249</f>
        <v>1090</v>
      </c>
      <c r="F249" s="0" t="e">
        <f aca="false">ABS(B$160-E249)</f>
        <v>#VALUE!</v>
      </c>
    </row>
    <row r="250" customFormat="false" ht="12.75" hidden="true" customHeight="false" outlineLevel="0" collapsed="false">
      <c r="B250" s="12" t="e">
        <f aca="false">IF(F250=MIN(F$162:F$362),1,0)</f>
        <v>#VALUE!</v>
      </c>
      <c r="C250" s="0" t="n">
        <v>88</v>
      </c>
      <c r="D250" s="0" t="n">
        <v>560</v>
      </c>
      <c r="E250" s="0" t="n">
        <f aca="false">2*D250</f>
        <v>1120</v>
      </c>
      <c r="F250" s="0" t="e">
        <f aca="false">ABS(B$160-E250)</f>
        <v>#VALUE!</v>
      </c>
    </row>
    <row r="251" customFormat="false" ht="12.75" hidden="true" customHeight="false" outlineLevel="0" collapsed="false">
      <c r="B251" s="12" t="e">
        <f aca="false">IF(F251=MIN(F$162:F$362),1,0)</f>
        <v>#VALUE!</v>
      </c>
      <c r="C251" s="0" t="n">
        <v>89</v>
      </c>
      <c r="D251" s="0" t="n">
        <v>580</v>
      </c>
      <c r="E251" s="0" t="n">
        <f aca="false">2*D251</f>
        <v>1160</v>
      </c>
      <c r="F251" s="0" t="e">
        <f aca="false">ABS(B$160-E251)</f>
        <v>#VALUE!</v>
      </c>
    </row>
    <row r="252" customFormat="false" ht="12.75" hidden="true" customHeight="false" outlineLevel="0" collapsed="false">
      <c r="B252" s="12" t="e">
        <f aca="false">IF(F252=MIN(F$162:F$362),1,0)</f>
        <v>#VALUE!</v>
      </c>
      <c r="C252" s="0" t="n">
        <v>90</v>
      </c>
      <c r="D252" s="0" t="n">
        <v>600</v>
      </c>
      <c r="E252" s="0" t="n">
        <f aca="false">2*D252</f>
        <v>1200</v>
      </c>
      <c r="F252" s="0" t="e">
        <f aca="false">ABS(B$160-E252)</f>
        <v>#VALUE!</v>
      </c>
    </row>
    <row r="253" customFormat="false" ht="12.75" hidden="true" customHeight="false" outlineLevel="0" collapsed="false">
      <c r="B253" s="12" t="e">
        <f aca="false">IF(F253=MIN(F$162:F$362),1,0)</f>
        <v>#VALUE!</v>
      </c>
      <c r="C253" s="0" t="n">
        <v>91</v>
      </c>
      <c r="D253" s="0" t="n">
        <v>615</v>
      </c>
      <c r="E253" s="0" t="n">
        <f aca="false">2*D253</f>
        <v>1230</v>
      </c>
      <c r="F253" s="0" t="e">
        <f aca="false">ABS(B$160-E253)</f>
        <v>#VALUE!</v>
      </c>
    </row>
    <row r="254" customFormat="false" ht="12.75" hidden="true" customHeight="false" outlineLevel="0" collapsed="false">
      <c r="B254" s="12" t="e">
        <f aca="false">IF(F254=MIN(F$162:F$362),1,0)</f>
        <v>#VALUE!</v>
      </c>
      <c r="C254" s="0" t="n">
        <v>92</v>
      </c>
      <c r="D254" s="0" t="n">
        <v>630</v>
      </c>
      <c r="E254" s="0" t="n">
        <f aca="false">2*D254</f>
        <v>1260</v>
      </c>
      <c r="F254" s="0" t="e">
        <f aca="false">ABS(B$160-E254)</f>
        <v>#VALUE!</v>
      </c>
    </row>
    <row r="255" customFormat="false" ht="12.75" hidden="true" customHeight="false" outlineLevel="0" collapsed="false">
      <c r="B255" s="12" t="e">
        <f aca="false">IF(F255=MIN(F$162:F$362),1,0)</f>
        <v>#VALUE!</v>
      </c>
      <c r="C255" s="0" t="n">
        <v>93</v>
      </c>
      <c r="D255" s="0" t="n">
        <v>650</v>
      </c>
      <c r="E255" s="0" t="n">
        <f aca="false">2*D255</f>
        <v>1300</v>
      </c>
      <c r="F255" s="0" t="e">
        <f aca="false">ABS(B$160-E255)</f>
        <v>#VALUE!</v>
      </c>
    </row>
    <row r="256" customFormat="false" ht="12.75" hidden="true" customHeight="false" outlineLevel="0" collapsed="false">
      <c r="B256" s="12" t="e">
        <f aca="false">IF(F256=MIN(F$162:F$362),1,0)</f>
        <v>#VALUE!</v>
      </c>
      <c r="C256" s="0" t="n">
        <v>94</v>
      </c>
      <c r="D256" s="0" t="n">
        <v>670</v>
      </c>
      <c r="E256" s="0" t="n">
        <f aca="false">2*D256</f>
        <v>1340</v>
      </c>
      <c r="F256" s="0" t="e">
        <f aca="false">ABS(B$160-E256)</f>
        <v>#VALUE!</v>
      </c>
    </row>
    <row r="257" customFormat="false" ht="12.75" hidden="true" customHeight="false" outlineLevel="0" collapsed="false">
      <c r="B257" s="12" t="e">
        <f aca="false">IF(F257=MIN(F$162:F$362),1,0)</f>
        <v>#VALUE!</v>
      </c>
      <c r="C257" s="0" t="n">
        <v>95</v>
      </c>
      <c r="D257" s="0" t="n">
        <v>690</v>
      </c>
      <c r="E257" s="0" t="n">
        <f aca="false">2*D257</f>
        <v>1380</v>
      </c>
      <c r="F257" s="0" t="e">
        <f aca="false">ABS(B$160-E257)</f>
        <v>#VALUE!</v>
      </c>
    </row>
    <row r="258" customFormat="false" ht="12.75" hidden="true" customHeight="false" outlineLevel="0" collapsed="false">
      <c r="B258" s="12" t="e">
        <f aca="false">IF(F258=MIN(F$162:F$362),1,0)</f>
        <v>#VALUE!</v>
      </c>
      <c r="C258" s="0" t="n">
        <v>96</v>
      </c>
      <c r="D258" s="0" t="n">
        <v>710</v>
      </c>
      <c r="E258" s="0" t="n">
        <f aca="false">2*D258</f>
        <v>1420</v>
      </c>
      <c r="F258" s="0" t="e">
        <f aca="false">ABS(B$160-E258)</f>
        <v>#VALUE!</v>
      </c>
    </row>
    <row r="259" customFormat="false" ht="12.75" hidden="true" customHeight="false" outlineLevel="0" collapsed="false">
      <c r="B259" s="12" t="e">
        <f aca="false">IF(F259=MIN(F$162:F$362),1,0)</f>
        <v>#VALUE!</v>
      </c>
      <c r="C259" s="0" t="n">
        <v>97</v>
      </c>
      <c r="D259" s="0" t="n">
        <v>730</v>
      </c>
      <c r="E259" s="0" t="n">
        <f aca="false">2*D259</f>
        <v>1460</v>
      </c>
      <c r="F259" s="0" t="e">
        <f aca="false">ABS(B$160-E259)</f>
        <v>#VALUE!</v>
      </c>
    </row>
    <row r="260" customFormat="false" ht="12.75" hidden="true" customHeight="false" outlineLevel="0" collapsed="false">
      <c r="B260" s="12" t="e">
        <f aca="false">IF(F260=MIN(F$162:F$362),1,0)</f>
        <v>#VALUE!</v>
      </c>
      <c r="C260" s="0" t="n">
        <v>98</v>
      </c>
      <c r="D260" s="0" t="n">
        <v>750</v>
      </c>
      <c r="E260" s="0" t="n">
        <f aca="false">2*D260</f>
        <v>1500</v>
      </c>
      <c r="F260" s="0" t="e">
        <f aca="false">ABS(B$160-E260)</f>
        <v>#VALUE!</v>
      </c>
    </row>
    <row r="261" customFormat="false" ht="12.75" hidden="true" customHeight="false" outlineLevel="0" collapsed="false">
      <c r="B261" s="12" t="e">
        <f aca="false">IF(F261=MIN(F$162:F$362),1,0)</f>
        <v>#VALUE!</v>
      </c>
      <c r="C261" s="0" t="n">
        <v>99</v>
      </c>
      <c r="D261" s="0" t="n">
        <v>775</v>
      </c>
      <c r="E261" s="0" t="n">
        <f aca="false">2*D261</f>
        <v>1550</v>
      </c>
      <c r="F261" s="0" t="e">
        <f aca="false">ABS(B$160-E261)</f>
        <v>#VALUE!</v>
      </c>
    </row>
    <row r="262" customFormat="false" ht="12.75" hidden="true" customHeight="false" outlineLevel="0" collapsed="false">
      <c r="B262" s="12" t="e">
        <f aca="false">IF(F262=MIN(F$162:F$362),1,0)</f>
        <v>#VALUE!</v>
      </c>
      <c r="C262" s="0" t="n">
        <v>100</v>
      </c>
      <c r="D262" s="0" t="n">
        <v>800</v>
      </c>
      <c r="E262" s="0" t="n">
        <f aca="false">2*D262</f>
        <v>1600</v>
      </c>
      <c r="F262" s="0" t="e">
        <f aca="false">ABS(B$160-E262)</f>
        <v>#VALUE!</v>
      </c>
    </row>
    <row r="263" customFormat="false" ht="12.75" hidden="true" customHeight="false" outlineLevel="0" collapsed="false">
      <c r="B263" s="12" t="e">
        <f aca="false">IF(F263=MIN(F$162:F$362),1,0)</f>
        <v>#VALUE!</v>
      </c>
      <c r="C263" s="0" t="n">
        <v>101</v>
      </c>
      <c r="D263" s="0" t="n">
        <v>825</v>
      </c>
      <c r="E263" s="0" t="n">
        <f aca="false">2*D263</f>
        <v>1650</v>
      </c>
      <c r="F263" s="0" t="e">
        <f aca="false">ABS(B$160-E263)</f>
        <v>#VALUE!</v>
      </c>
    </row>
    <row r="264" customFormat="false" ht="12.75" hidden="true" customHeight="false" outlineLevel="0" collapsed="false">
      <c r="B264" s="12" t="e">
        <f aca="false">IF(F264=MIN(F$162:F$362),1,0)</f>
        <v>#VALUE!</v>
      </c>
      <c r="C264" s="0" t="n">
        <v>102</v>
      </c>
      <c r="D264" s="0" t="n">
        <v>850</v>
      </c>
      <c r="E264" s="0" t="n">
        <f aca="false">2*D264</f>
        <v>1700</v>
      </c>
      <c r="F264" s="0" t="e">
        <f aca="false">ABS(B$160-E264)</f>
        <v>#VALUE!</v>
      </c>
    </row>
    <row r="265" customFormat="false" ht="12.75" hidden="true" customHeight="false" outlineLevel="0" collapsed="false">
      <c r="B265" s="12" t="e">
        <f aca="false">IF(F265=MIN(F$162:F$362),1,0)</f>
        <v>#VALUE!</v>
      </c>
      <c r="C265" s="0" t="n">
        <v>103</v>
      </c>
      <c r="D265" s="0" t="n">
        <v>875</v>
      </c>
      <c r="E265" s="0" t="n">
        <f aca="false">2*D265</f>
        <v>1750</v>
      </c>
      <c r="F265" s="0" t="e">
        <f aca="false">ABS(B$160-E265)</f>
        <v>#VALUE!</v>
      </c>
    </row>
    <row r="266" customFormat="false" ht="12.75" hidden="true" customHeight="false" outlineLevel="0" collapsed="false">
      <c r="B266" s="12" t="e">
        <f aca="false">IF(F266=MIN(F$162:F$362),1,0)</f>
        <v>#VALUE!</v>
      </c>
      <c r="C266" s="0" t="n">
        <v>104</v>
      </c>
      <c r="D266" s="0" t="n">
        <v>900</v>
      </c>
      <c r="E266" s="0" t="n">
        <f aca="false">2*D266</f>
        <v>1800</v>
      </c>
      <c r="F266" s="0" t="e">
        <f aca="false">ABS(B$160-E266)</f>
        <v>#VALUE!</v>
      </c>
    </row>
    <row r="267" customFormat="false" ht="12.75" hidden="true" customHeight="false" outlineLevel="0" collapsed="false">
      <c r="B267" s="12" t="e">
        <f aca="false">IF(F267=MIN(F$162:F$362),1,0)</f>
        <v>#VALUE!</v>
      </c>
      <c r="C267" s="0" t="n">
        <v>105</v>
      </c>
      <c r="D267" s="0" t="n">
        <v>925</v>
      </c>
      <c r="E267" s="0" t="n">
        <f aca="false">2*D267</f>
        <v>1850</v>
      </c>
      <c r="F267" s="0" t="e">
        <f aca="false">ABS(B$160-E267)</f>
        <v>#VALUE!</v>
      </c>
    </row>
    <row r="268" customFormat="false" ht="12.75" hidden="true" customHeight="false" outlineLevel="0" collapsed="false">
      <c r="B268" s="12" t="e">
        <f aca="false">IF(F268=MIN(F$162:F$362),1,0)</f>
        <v>#VALUE!</v>
      </c>
      <c r="C268" s="0" t="n">
        <v>106</v>
      </c>
      <c r="D268" s="0" t="n">
        <v>950</v>
      </c>
      <c r="E268" s="0" t="n">
        <f aca="false">2*D268</f>
        <v>1900</v>
      </c>
      <c r="F268" s="0" t="e">
        <f aca="false">ABS(B$160-E268)</f>
        <v>#VALUE!</v>
      </c>
    </row>
    <row r="269" customFormat="false" ht="12.75" hidden="true" customHeight="false" outlineLevel="0" collapsed="false">
      <c r="B269" s="12" t="e">
        <f aca="false">IF(F269=MIN(F$162:F$362),1,0)</f>
        <v>#VALUE!</v>
      </c>
      <c r="C269" s="0" t="n">
        <v>107</v>
      </c>
      <c r="D269" s="0" t="n">
        <v>975</v>
      </c>
      <c r="E269" s="0" t="n">
        <f aca="false">2*D269</f>
        <v>1950</v>
      </c>
      <c r="F269" s="0" t="e">
        <f aca="false">ABS(B$160-E269)</f>
        <v>#VALUE!</v>
      </c>
    </row>
    <row r="270" customFormat="false" ht="12.75" hidden="true" customHeight="false" outlineLevel="0" collapsed="false">
      <c r="B270" s="12" t="e">
        <f aca="false">IF(F270=MIN(F$162:F$362),1,0)</f>
        <v>#VALUE!</v>
      </c>
      <c r="C270" s="0" t="n">
        <v>108</v>
      </c>
      <c r="D270" s="0" t="n">
        <v>1000</v>
      </c>
      <c r="E270" s="0" t="n">
        <f aca="false">2*D270</f>
        <v>2000</v>
      </c>
      <c r="F270" s="0" t="e">
        <f aca="false">ABS(B$160-E270)</f>
        <v>#VALUE!</v>
      </c>
    </row>
    <row r="271" customFormat="false" ht="12.75" hidden="true" customHeight="false" outlineLevel="0" collapsed="false">
      <c r="B271" s="12" t="e">
        <f aca="false">IF(F271=MIN(F$162:F$362),1,0)</f>
        <v>#VALUE!</v>
      </c>
      <c r="C271" s="0" t="n">
        <v>109</v>
      </c>
      <c r="D271" s="0" t="n">
        <v>1030</v>
      </c>
      <c r="E271" s="0" t="n">
        <f aca="false">2*D271</f>
        <v>2060</v>
      </c>
      <c r="F271" s="0" t="e">
        <f aca="false">ABS(B$160-E271)</f>
        <v>#VALUE!</v>
      </c>
    </row>
    <row r="272" customFormat="false" ht="12.75" hidden="true" customHeight="false" outlineLevel="0" collapsed="false">
      <c r="B272" s="12" t="e">
        <f aca="false">IF(F272=MIN(F$162:F$362),1,0)</f>
        <v>#VALUE!</v>
      </c>
      <c r="C272" s="0" t="n">
        <v>110</v>
      </c>
      <c r="D272" s="0" t="n">
        <v>1060</v>
      </c>
      <c r="E272" s="0" t="n">
        <f aca="false">2*D272</f>
        <v>2120</v>
      </c>
      <c r="F272" s="0" t="e">
        <f aca="false">ABS(B$160-E272)</f>
        <v>#VALUE!</v>
      </c>
    </row>
    <row r="273" customFormat="false" ht="12.75" hidden="true" customHeight="false" outlineLevel="0" collapsed="false">
      <c r="B273" s="12" t="e">
        <f aca="false">IF(F273=MIN(F$162:F$362),1,0)</f>
        <v>#VALUE!</v>
      </c>
      <c r="C273" s="0" t="n">
        <v>111</v>
      </c>
      <c r="D273" s="0" t="n">
        <v>1090</v>
      </c>
      <c r="E273" s="0" t="n">
        <f aca="false">2*D273</f>
        <v>2180</v>
      </c>
      <c r="F273" s="0" t="e">
        <f aca="false">ABS(B$160-E273)</f>
        <v>#VALUE!</v>
      </c>
    </row>
    <row r="274" customFormat="false" ht="12.75" hidden="true" customHeight="false" outlineLevel="0" collapsed="false">
      <c r="B274" s="12" t="e">
        <f aca="false">IF(F274=MIN(F$162:F$362),1,0)</f>
        <v>#VALUE!</v>
      </c>
      <c r="C274" s="0" t="n">
        <v>112</v>
      </c>
      <c r="D274" s="0" t="n">
        <v>1120</v>
      </c>
      <c r="E274" s="0" t="n">
        <f aca="false">2*D274</f>
        <v>2240</v>
      </c>
      <c r="F274" s="0" t="e">
        <f aca="false">ABS(B$160-E274)</f>
        <v>#VALUE!</v>
      </c>
    </row>
    <row r="275" customFormat="false" ht="12.75" hidden="true" customHeight="false" outlineLevel="0" collapsed="false">
      <c r="B275" s="12" t="e">
        <f aca="false">IF(F275=MIN(F$162:F$362),1,0)</f>
        <v>#VALUE!</v>
      </c>
      <c r="C275" s="0" t="n">
        <v>113</v>
      </c>
      <c r="D275" s="0" t="n">
        <v>1150</v>
      </c>
      <c r="E275" s="0" t="n">
        <f aca="false">2*D275</f>
        <v>2300</v>
      </c>
      <c r="F275" s="0" t="e">
        <f aca="false">ABS(B$160-E275)</f>
        <v>#VALUE!</v>
      </c>
    </row>
    <row r="276" customFormat="false" ht="12.75" hidden="true" customHeight="false" outlineLevel="0" collapsed="false">
      <c r="B276" s="12" t="e">
        <f aca="false">IF(F276=MIN(F$162:F$362),1,0)</f>
        <v>#VALUE!</v>
      </c>
      <c r="C276" s="0" t="n">
        <v>114</v>
      </c>
      <c r="D276" s="0" t="n">
        <v>1180</v>
      </c>
      <c r="E276" s="0" t="n">
        <f aca="false">2*D276</f>
        <v>2360</v>
      </c>
      <c r="F276" s="0" t="e">
        <f aca="false">ABS(B$160-E276)</f>
        <v>#VALUE!</v>
      </c>
    </row>
    <row r="277" customFormat="false" ht="12.75" hidden="true" customHeight="false" outlineLevel="0" collapsed="false">
      <c r="B277" s="12" t="e">
        <f aca="false">IF(F277=MIN(F$162:F$362),1,0)</f>
        <v>#VALUE!</v>
      </c>
      <c r="C277" s="0" t="n">
        <v>115</v>
      </c>
      <c r="D277" s="0" t="n">
        <v>1215</v>
      </c>
      <c r="E277" s="0" t="n">
        <f aca="false">2*D277</f>
        <v>2430</v>
      </c>
      <c r="F277" s="0" t="e">
        <f aca="false">ABS(B$160-E277)</f>
        <v>#VALUE!</v>
      </c>
    </row>
    <row r="278" customFormat="false" ht="12.75" hidden="true" customHeight="false" outlineLevel="0" collapsed="false">
      <c r="B278" s="12" t="e">
        <f aca="false">IF(F278=MIN(F$162:F$362),1,0)</f>
        <v>#VALUE!</v>
      </c>
      <c r="C278" s="0" t="n">
        <v>116</v>
      </c>
      <c r="D278" s="0" t="n">
        <v>1250</v>
      </c>
      <c r="E278" s="0" t="n">
        <f aca="false">2*D278</f>
        <v>2500</v>
      </c>
      <c r="F278" s="0" t="e">
        <f aca="false">ABS(B$160-E278)</f>
        <v>#VALUE!</v>
      </c>
    </row>
    <row r="279" customFormat="false" ht="12.75" hidden="true" customHeight="false" outlineLevel="0" collapsed="false">
      <c r="B279" s="12" t="e">
        <f aca="false">IF(F279=MIN(F$162:F$362),1,0)</f>
        <v>#VALUE!</v>
      </c>
      <c r="C279" s="0" t="n">
        <v>117</v>
      </c>
      <c r="D279" s="0" t="n">
        <v>1285</v>
      </c>
      <c r="E279" s="0" t="n">
        <f aca="false">2*D279</f>
        <v>2570</v>
      </c>
      <c r="F279" s="0" t="e">
        <f aca="false">ABS(B$160-E279)</f>
        <v>#VALUE!</v>
      </c>
    </row>
    <row r="280" customFormat="false" ht="12.75" hidden="true" customHeight="false" outlineLevel="0" collapsed="false">
      <c r="B280" s="12" t="e">
        <f aca="false">IF(F280=MIN(F$162:F$362),1,0)</f>
        <v>#VALUE!</v>
      </c>
      <c r="C280" s="0" t="n">
        <v>118</v>
      </c>
      <c r="D280" s="0" t="n">
        <v>1320</v>
      </c>
      <c r="E280" s="0" t="n">
        <f aca="false">2*D280</f>
        <v>2640</v>
      </c>
      <c r="F280" s="0" t="e">
        <f aca="false">ABS(B$160-E280)</f>
        <v>#VALUE!</v>
      </c>
    </row>
    <row r="281" customFormat="false" ht="12.75" hidden="true" customHeight="false" outlineLevel="0" collapsed="false">
      <c r="B281" s="12" t="e">
        <f aca="false">IF(F281=MIN(F$162:F$362),1,0)</f>
        <v>#VALUE!</v>
      </c>
      <c r="C281" s="0" t="n">
        <v>119</v>
      </c>
      <c r="D281" s="0" t="n">
        <v>1360</v>
      </c>
      <c r="E281" s="0" t="n">
        <f aca="false">2*D281</f>
        <v>2720</v>
      </c>
      <c r="F281" s="0" t="e">
        <f aca="false">ABS(B$160-E281)</f>
        <v>#VALUE!</v>
      </c>
    </row>
    <row r="282" customFormat="false" ht="12.75" hidden="true" customHeight="false" outlineLevel="0" collapsed="false">
      <c r="B282" s="12" t="e">
        <f aca="false">IF(F282=MIN(F$162:F$362),1,0)</f>
        <v>#VALUE!</v>
      </c>
      <c r="C282" s="0" t="n">
        <v>120</v>
      </c>
      <c r="D282" s="0" t="n">
        <v>1400</v>
      </c>
      <c r="E282" s="0" t="n">
        <f aca="false">2*D282</f>
        <v>2800</v>
      </c>
      <c r="F282" s="0" t="e">
        <f aca="false">ABS(B$160-E282)</f>
        <v>#VALUE!</v>
      </c>
    </row>
    <row r="283" customFormat="false" ht="12.75" hidden="true" customHeight="false" outlineLevel="0" collapsed="false">
      <c r="B283" s="12" t="e">
        <f aca="false">IF(F283=MIN(F$162:F$362),1,0)</f>
        <v>#VALUE!</v>
      </c>
      <c r="C283" s="0" t="n">
        <v>121</v>
      </c>
      <c r="D283" s="0" t="n">
        <v>1450</v>
      </c>
      <c r="E283" s="0" t="n">
        <f aca="false">2*D283</f>
        <v>2900</v>
      </c>
      <c r="F283" s="0" t="e">
        <f aca="false">ABS(B$160-E283)</f>
        <v>#VALUE!</v>
      </c>
    </row>
    <row r="284" customFormat="false" ht="12.75" hidden="true" customHeight="false" outlineLevel="0" collapsed="false">
      <c r="B284" s="12" t="e">
        <f aca="false">IF(F284=MIN(F$162:F$362),1,0)</f>
        <v>#VALUE!</v>
      </c>
      <c r="C284" s="0" t="n">
        <v>122</v>
      </c>
      <c r="D284" s="0" t="n">
        <v>1500</v>
      </c>
      <c r="E284" s="0" t="n">
        <f aca="false">2*D284</f>
        <v>3000</v>
      </c>
      <c r="F284" s="0" t="e">
        <f aca="false">ABS(B$160-E284)</f>
        <v>#VALUE!</v>
      </c>
    </row>
    <row r="285" customFormat="false" ht="12.75" hidden="true" customHeight="false" outlineLevel="0" collapsed="false">
      <c r="B285" s="12" t="e">
        <f aca="false">IF(F285=MIN(F$162:F$362),1,0)</f>
        <v>#VALUE!</v>
      </c>
      <c r="C285" s="0" t="n">
        <v>123</v>
      </c>
      <c r="D285" s="0" t="n">
        <v>1550</v>
      </c>
      <c r="E285" s="0" t="n">
        <f aca="false">2*D285</f>
        <v>3100</v>
      </c>
      <c r="F285" s="0" t="e">
        <f aca="false">ABS(B$160-E285)</f>
        <v>#VALUE!</v>
      </c>
    </row>
    <row r="286" customFormat="false" ht="12.75" hidden="true" customHeight="false" outlineLevel="0" collapsed="false">
      <c r="B286" s="12" t="e">
        <f aca="false">IF(F286=MIN(F$162:F$362),1,0)</f>
        <v>#VALUE!</v>
      </c>
      <c r="C286" s="0" t="n">
        <v>124</v>
      </c>
      <c r="D286" s="0" t="n">
        <v>1600</v>
      </c>
      <c r="E286" s="0" t="n">
        <f aca="false">2*D286</f>
        <v>3200</v>
      </c>
      <c r="F286" s="0" t="e">
        <f aca="false">ABS(B$160-E286)</f>
        <v>#VALUE!</v>
      </c>
    </row>
    <row r="287" customFormat="false" ht="12.75" hidden="true" customHeight="false" outlineLevel="0" collapsed="false">
      <c r="B287" s="12" t="e">
        <f aca="false">IF(F287=MIN(F$162:F$362),1,0)</f>
        <v>#VALUE!</v>
      </c>
      <c r="C287" s="0" t="n">
        <v>125</v>
      </c>
      <c r="D287" s="0" t="n">
        <v>1650</v>
      </c>
      <c r="E287" s="0" t="n">
        <f aca="false">2*D287</f>
        <v>3300</v>
      </c>
      <c r="F287" s="0" t="e">
        <f aca="false">ABS(B$160-E287)</f>
        <v>#VALUE!</v>
      </c>
    </row>
    <row r="288" customFormat="false" ht="12.75" hidden="true" customHeight="false" outlineLevel="0" collapsed="false">
      <c r="B288" s="12" t="e">
        <f aca="false">IF(F288=MIN(F$162:F$362),1,0)</f>
        <v>#VALUE!</v>
      </c>
      <c r="C288" s="0" t="n">
        <v>126</v>
      </c>
      <c r="D288" s="0" t="n">
        <v>1700</v>
      </c>
      <c r="E288" s="0" t="n">
        <f aca="false">2*D288</f>
        <v>3400</v>
      </c>
      <c r="F288" s="0" t="e">
        <f aca="false">ABS(B$160-E288)</f>
        <v>#VALUE!</v>
      </c>
    </row>
    <row r="289" customFormat="false" ht="12.75" hidden="true" customHeight="false" outlineLevel="0" collapsed="false">
      <c r="B289" s="12" t="e">
        <f aca="false">IF(F289=MIN(F$162:F$362),1,0)</f>
        <v>#VALUE!</v>
      </c>
      <c r="C289" s="0" t="n">
        <v>127</v>
      </c>
      <c r="D289" s="0" t="n">
        <v>1750</v>
      </c>
      <c r="E289" s="0" t="n">
        <f aca="false">2*D289</f>
        <v>3500</v>
      </c>
      <c r="F289" s="0" t="e">
        <f aca="false">ABS(B$160-E289)</f>
        <v>#VALUE!</v>
      </c>
    </row>
    <row r="290" customFormat="false" ht="12.75" hidden="true" customHeight="false" outlineLevel="0" collapsed="false">
      <c r="B290" s="12" t="e">
        <f aca="false">IF(F290=MIN(F$162:F$362),1,0)</f>
        <v>#VALUE!</v>
      </c>
      <c r="C290" s="0" t="n">
        <v>128</v>
      </c>
      <c r="D290" s="0" t="n">
        <v>1800</v>
      </c>
      <c r="E290" s="0" t="n">
        <f aca="false">2*D290</f>
        <v>3600</v>
      </c>
      <c r="F290" s="0" t="e">
        <f aca="false">ABS(B$160-E290)</f>
        <v>#VALUE!</v>
      </c>
    </row>
    <row r="291" customFormat="false" ht="12.75" hidden="true" customHeight="false" outlineLevel="0" collapsed="false">
      <c r="B291" s="12" t="e">
        <f aca="false">IF(F291=MIN(F$162:F$362),1,0)</f>
        <v>#VALUE!</v>
      </c>
      <c r="C291" s="0" t="n">
        <v>129</v>
      </c>
      <c r="D291" s="0" t="n">
        <v>1850</v>
      </c>
      <c r="E291" s="0" t="n">
        <f aca="false">2*D291</f>
        <v>3700</v>
      </c>
      <c r="F291" s="0" t="e">
        <f aca="false">ABS(B$160-E291)</f>
        <v>#VALUE!</v>
      </c>
    </row>
    <row r="292" customFormat="false" ht="12.75" hidden="true" customHeight="false" outlineLevel="0" collapsed="false">
      <c r="B292" s="12" t="e">
        <f aca="false">IF(F292=MIN(F$162:F$362),1,0)</f>
        <v>#VALUE!</v>
      </c>
      <c r="C292" s="0" t="n">
        <v>130</v>
      </c>
      <c r="D292" s="0" t="n">
        <v>1900</v>
      </c>
      <c r="E292" s="0" t="n">
        <f aca="false">2*D292</f>
        <v>3800</v>
      </c>
      <c r="F292" s="0" t="e">
        <f aca="false">ABS(B$160-E292)</f>
        <v>#VALUE!</v>
      </c>
    </row>
    <row r="293" customFormat="false" ht="12.75" hidden="true" customHeight="false" outlineLevel="0" collapsed="false">
      <c r="B293" s="12" t="e">
        <f aca="false">IF(F293=MIN(F$162:F$362),1,0)</f>
        <v>#VALUE!</v>
      </c>
      <c r="C293" s="0" t="n">
        <v>131</v>
      </c>
      <c r="D293" s="0" t="n">
        <v>1950</v>
      </c>
      <c r="E293" s="0" t="n">
        <f aca="false">2*D293</f>
        <v>3900</v>
      </c>
      <c r="F293" s="0" t="e">
        <f aca="false">ABS(B$160-E293)</f>
        <v>#VALUE!</v>
      </c>
    </row>
    <row r="294" customFormat="false" ht="12.75" hidden="true" customHeight="false" outlineLevel="0" collapsed="false">
      <c r="B294" s="12" t="e">
        <f aca="false">IF(F294=MIN(F$162:F$362),1,0)</f>
        <v>#VALUE!</v>
      </c>
      <c r="C294" s="0" t="n">
        <v>132</v>
      </c>
      <c r="D294" s="0" t="n">
        <v>2000</v>
      </c>
      <c r="E294" s="0" t="n">
        <f aca="false">2*D294</f>
        <v>4000</v>
      </c>
      <c r="F294" s="0" t="e">
        <f aca="false">ABS(B$160-E294)</f>
        <v>#VALUE!</v>
      </c>
    </row>
    <row r="295" customFormat="false" ht="12.75" hidden="true" customHeight="false" outlineLevel="0" collapsed="false">
      <c r="B295" s="12" t="e">
        <f aca="false">IF(F295=MIN(F$162:F$362),1,0)</f>
        <v>#VALUE!</v>
      </c>
      <c r="C295" s="0" t="n">
        <v>133</v>
      </c>
      <c r="D295" s="0" t="n">
        <v>2060</v>
      </c>
      <c r="E295" s="0" t="n">
        <f aca="false">2*D295</f>
        <v>4120</v>
      </c>
      <c r="F295" s="0" t="e">
        <f aca="false">ABS(B$160-E295)</f>
        <v>#VALUE!</v>
      </c>
    </row>
    <row r="296" customFormat="false" ht="12.75" hidden="true" customHeight="false" outlineLevel="0" collapsed="false">
      <c r="B296" s="12" t="e">
        <f aca="false">IF(F296=MIN(F$162:F$362),1,0)</f>
        <v>#VALUE!</v>
      </c>
      <c r="C296" s="0" t="n">
        <v>134</v>
      </c>
      <c r="D296" s="0" t="n">
        <v>2120</v>
      </c>
      <c r="E296" s="0" t="n">
        <f aca="false">2*D296</f>
        <v>4240</v>
      </c>
      <c r="F296" s="0" t="e">
        <f aca="false">ABS(B$160-E296)</f>
        <v>#VALUE!</v>
      </c>
    </row>
    <row r="297" customFormat="false" ht="12.75" hidden="true" customHeight="false" outlineLevel="0" collapsed="false">
      <c r="B297" s="12" t="e">
        <f aca="false">IF(F297=MIN(F$162:F$362),1,0)</f>
        <v>#VALUE!</v>
      </c>
      <c r="C297" s="0" t="n">
        <v>135</v>
      </c>
      <c r="D297" s="0" t="n">
        <v>2180</v>
      </c>
      <c r="E297" s="0" t="n">
        <f aca="false">2*D297</f>
        <v>4360</v>
      </c>
      <c r="F297" s="0" t="e">
        <f aca="false">ABS(B$160-E297)</f>
        <v>#VALUE!</v>
      </c>
    </row>
    <row r="298" customFormat="false" ht="12.75" hidden="true" customHeight="false" outlineLevel="0" collapsed="false">
      <c r="B298" s="12" t="e">
        <f aca="false">IF(F298=MIN(F$162:F$362),1,0)</f>
        <v>#VALUE!</v>
      </c>
      <c r="C298" s="0" t="n">
        <v>136</v>
      </c>
      <c r="D298" s="0" t="n">
        <v>2240</v>
      </c>
      <c r="E298" s="0" t="n">
        <f aca="false">2*D298</f>
        <v>4480</v>
      </c>
      <c r="F298" s="0" t="e">
        <f aca="false">ABS(B$160-E298)</f>
        <v>#VALUE!</v>
      </c>
    </row>
    <row r="299" customFormat="false" ht="12.75" hidden="true" customHeight="false" outlineLevel="0" collapsed="false">
      <c r="B299" s="12" t="e">
        <f aca="false">IF(F299=MIN(F$162:F$362),1,0)</f>
        <v>#VALUE!</v>
      </c>
      <c r="C299" s="0" t="n">
        <v>137</v>
      </c>
      <c r="D299" s="0" t="n">
        <v>2300</v>
      </c>
      <c r="E299" s="0" t="n">
        <f aca="false">2*D299</f>
        <v>4600</v>
      </c>
      <c r="F299" s="0" t="e">
        <f aca="false">ABS(B$160-E299)</f>
        <v>#VALUE!</v>
      </c>
    </row>
    <row r="300" customFormat="false" ht="12.75" hidden="true" customHeight="false" outlineLevel="0" collapsed="false">
      <c r="B300" s="12" t="e">
        <f aca="false">IF(F300=MIN(F$162:F$362),1,0)</f>
        <v>#VALUE!</v>
      </c>
      <c r="C300" s="0" t="n">
        <v>138</v>
      </c>
      <c r="D300" s="0" t="n">
        <v>2360</v>
      </c>
      <c r="E300" s="0" t="n">
        <f aca="false">2*D300</f>
        <v>4720</v>
      </c>
      <c r="F300" s="0" t="e">
        <f aca="false">ABS(B$160-E300)</f>
        <v>#VALUE!</v>
      </c>
    </row>
    <row r="301" customFormat="false" ht="12.75" hidden="true" customHeight="false" outlineLevel="0" collapsed="false">
      <c r="B301" s="12" t="e">
        <f aca="false">IF(F301=MIN(F$162:F$362),1,0)</f>
        <v>#VALUE!</v>
      </c>
      <c r="C301" s="0" t="n">
        <v>139</v>
      </c>
      <c r="D301" s="0" t="n">
        <v>2430</v>
      </c>
      <c r="E301" s="0" t="n">
        <f aca="false">2*D301</f>
        <v>4860</v>
      </c>
      <c r="F301" s="0" t="e">
        <f aca="false">ABS(B$160-E301)</f>
        <v>#VALUE!</v>
      </c>
    </row>
    <row r="302" customFormat="false" ht="12.75" hidden="true" customHeight="false" outlineLevel="0" collapsed="false">
      <c r="B302" s="12" t="e">
        <f aca="false">IF(F302=MIN(F$162:F$362),1,0)</f>
        <v>#VALUE!</v>
      </c>
      <c r="C302" s="0" t="n">
        <v>140</v>
      </c>
      <c r="D302" s="0" t="n">
        <v>2500</v>
      </c>
      <c r="E302" s="0" t="n">
        <f aca="false">2*D302</f>
        <v>5000</v>
      </c>
      <c r="F302" s="0" t="e">
        <f aca="false">ABS(B$160-E302)</f>
        <v>#VALUE!</v>
      </c>
    </row>
    <row r="303" customFormat="false" ht="12.75" hidden="true" customHeight="false" outlineLevel="0" collapsed="false">
      <c r="B303" s="12" t="e">
        <f aca="false">IF(F303=MIN(F$162:F$362),1,0)</f>
        <v>#VALUE!</v>
      </c>
      <c r="C303" s="0" t="n">
        <v>141</v>
      </c>
      <c r="D303" s="0" t="n">
        <v>2575</v>
      </c>
      <c r="E303" s="0" t="n">
        <f aca="false">2*D303</f>
        <v>5150</v>
      </c>
      <c r="F303" s="0" t="e">
        <f aca="false">ABS(B$160-E303)</f>
        <v>#VALUE!</v>
      </c>
    </row>
    <row r="304" customFormat="false" ht="12.75" hidden="true" customHeight="false" outlineLevel="0" collapsed="false">
      <c r="B304" s="12" t="e">
        <f aca="false">IF(F304=MIN(F$162:F$362),1,0)</f>
        <v>#VALUE!</v>
      </c>
      <c r="C304" s="0" t="n">
        <v>142</v>
      </c>
      <c r="D304" s="0" t="n">
        <v>2650</v>
      </c>
      <c r="E304" s="0" t="n">
        <f aca="false">2*D304</f>
        <v>5300</v>
      </c>
      <c r="F304" s="0" t="e">
        <f aca="false">ABS(B$160-E304)</f>
        <v>#VALUE!</v>
      </c>
    </row>
    <row r="305" customFormat="false" ht="12.75" hidden="true" customHeight="false" outlineLevel="0" collapsed="false">
      <c r="B305" s="12" t="e">
        <f aca="false">IF(F305=MIN(F$162:F$362),1,0)</f>
        <v>#VALUE!</v>
      </c>
      <c r="C305" s="0" t="n">
        <v>143</v>
      </c>
      <c r="D305" s="0" t="n">
        <v>2725</v>
      </c>
      <c r="E305" s="0" t="n">
        <f aca="false">2*D305</f>
        <v>5450</v>
      </c>
      <c r="F305" s="0" t="e">
        <f aca="false">ABS(B$160-E305)</f>
        <v>#VALUE!</v>
      </c>
    </row>
    <row r="306" customFormat="false" ht="12.75" hidden="true" customHeight="false" outlineLevel="0" collapsed="false">
      <c r="B306" s="12" t="e">
        <f aca="false">IF(F306=MIN(F$162:F$362),1,0)</f>
        <v>#VALUE!</v>
      </c>
      <c r="C306" s="0" t="n">
        <v>144</v>
      </c>
      <c r="D306" s="0" t="n">
        <v>2800</v>
      </c>
      <c r="E306" s="0" t="n">
        <f aca="false">2*D306</f>
        <v>5600</v>
      </c>
      <c r="F306" s="0" t="e">
        <f aca="false">ABS(B$160-E306)</f>
        <v>#VALUE!</v>
      </c>
    </row>
    <row r="307" customFormat="false" ht="12.75" hidden="true" customHeight="false" outlineLevel="0" collapsed="false">
      <c r="B307" s="12" t="e">
        <f aca="false">IF(F307=MIN(F$162:F$362),1,0)</f>
        <v>#VALUE!</v>
      </c>
      <c r="C307" s="0" t="n">
        <v>145</v>
      </c>
      <c r="D307" s="0" t="n">
        <v>2900</v>
      </c>
      <c r="E307" s="0" t="n">
        <f aca="false">2*D307</f>
        <v>5800</v>
      </c>
      <c r="F307" s="0" t="e">
        <f aca="false">ABS(B$160-E307)</f>
        <v>#VALUE!</v>
      </c>
    </row>
    <row r="308" customFormat="false" ht="12.75" hidden="true" customHeight="false" outlineLevel="0" collapsed="false">
      <c r="B308" s="12" t="e">
        <f aca="false">IF(F308=MIN(F$162:F$362),1,0)</f>
        <v>#VALUE!</v>
      </c>
      <c r="C308" s="0" t="n">
        <v>146</v>
      </c>
      <c r="D308" s="0" t="n">
        <v>3000</v>
      </c>
      <c r="E308" s="0" t="n">
        <f aca="false">2*D308</f>
        <v>6000</v>
      </c>
      <c r="F308" s="0" t="e">
        <f aca="false">ABS(B$160-E308)</f>
        <v>#VALUE!</v>
      </c>
    </row>
    <row r="309" customFormat="false" ht="12.75" hidden="true" customHeight="false" outlineLevel="0" collapsed="false">
      <c r="B309" s="12" t="e">
        <f aca="false">IF(F309=MIN(F$162:F$362),1,0)</f>
        <v>#VALUE!</v>
      </c>
      <c r="C309" s="0" t="n">
        <v>147</v>
      </c>
      <c r="D309" s="0" t="n">
        <v>3075</v>
      </c>
      <c r="E309" s="0" t="n">
        <f aca="false">2*D309</f>
        <v>6150</v>
      </c>
      <c r="F309" s="0" t="e">
        <f aca="false">ABS(B$160-E309)</f>
        <v>#VALUE!</v>
      </c>
    </row>
    <row r="310" customFormat="false" ht="12.75" hidden="true" customHeight="false" outlineLevel="0" collapsed="false">
      <c r="B310" s="12" t="e">
        <f aca="false">IF(F310=MIN(F$162:F$362),1,0)</f>
        <v>#VALUE!</v>
      </c>
      <c r="C310" s="0" t="n">
        <v>148</v>
      </c>
      <c r="D310" s="0" t="n">
        <v>3150</v>
      </c>
      <c r="E310" s="0" t="n">
        <f aca="false">2*D310</f>
        <v>6300</v>
      </c>
      <c r="F310" s="0" t="e">
        <f aca="false">ABS(B$160-E310)</f>
        <v>#VALUE!</v>
      </c>
    </row>
    <row r="311" customFormat="false" ht="12.75" hidden="true" customHeight="false" outlineLevel="0" collapsed="false">
      <c r="B311" s="12" t="e">
        <f aca="false">IF(F311=MIN(F$162:F$362),1,0)</f>
        <v>#VALUE!</v>
      </c>
      <c r="C311" s="0" t="n">
        <v>149</v>
      </c>
      <c r="D311" s="0" t="n">
        <v>3250</v>
      </c>
      <c r="E311" s="0" t="n">
        <f aca="false">2*D311</f>
        <v>6500</v>
      </c>
      <c r="F311" s="0" t="e">
        <f aca="false">ABS(B$160-E311)</f>
        <v>#VALUE!</v>
      </c>
    </row>
    <row r="312" customFormat="false" ht="12.75" hidden="true" customHeight="false" outlineLevel="0" collapsed="false">
      <c r="B312" s="12" t="e">
        <f aca="false">IF(F312=MIN(F$162:F$362),1,0)</f>
        <v>#VALUE!</v>
      </c>
      <c r="C312" s="0" t="n">
        <v>150</v>
      </c>
      <c r="D312" s="0" t="n">
        <v>3350</v>
      </c>
      <c r="E312" s="0" t="n">
        <f aca="false">2*D312</f>
        <v>6700</v>
      </c>
      <c r="F312" s="0" t="e">
        <f aca="false">ABS(B$160-E312)</f>
        <v>#VALUE!</v>
      </c>
    </row>
    <row r="313" customFormat="false" ht="12.75" hidden="true" customHeight="false" outlineLevel="0" collapsed="false">
      <c r="B313" s="12" t="e">
        <f aca="false">IF(F313=MIN(F$162:F$362),1,0)</f>
        <v>#VALUE!</v>
      </c>
      <c r="C313" s="0" t="n">
        <v>151</v>
      </c>
      <c r="D313" s="0" t="n">
        <v>3450</v>
      </c>
      <c r="E313" s="0" t="n">
        <f aca="false">2*D313</f>
        <v>6900</v>
      </c>
      <c r="F313" s="0" t="e">
        <f aca="false">ABS(B$160-E313)</f>
        <v>#VALUE!</v>
      </c>
    </row>
    <row r="314" customFormat="false" ht="12.75" hidden="true" customHeight="false" outlineLevel="0" collapsed="false">
      <c r="B314" s="12" t="e">
        <f aca="false">IF(F314=MIN(F$162:F$362),1,0)</f>
        <v>#VALUE!</v>
      </c>
      <c r="C314" s="0" t="n">
        <v>152</v>
      </c>
      <c r="D314" s="0" t="n">
        <v>3550</v>
      </c>
      <c r="E314" s="0" t="n">
        <f aca="false">2*D314</f>
        <v>7100</v>
      </c>
      <c r="F314" s="0" t="e">
        <f aca="false">ABS(B$160-E314)</f>
        <v>#VALUE!</v>
      </c>
    </row>
    <row r="315" customFormat="false" ht="12.75" hidden="true" customHeight="false" outlineLevel="0" collapsed="false">
      <c r="B315" s="12" t="e">
        <f aca="false">IF(F315=MIN(F$162:F$362),1,0)</f>
        <v>#VALUE!</v>
      </c>
      <c r="C315" s="0" t="n">
        <v>153</v>
      </c>
      <c r="D315" s="0" t="n">
        <v>3650</v>
      </c>
      <c r="E315" s="0" t="n">
        <f aca="false">2*D315</f>
        <v>7300</v>
      </c>
      <c r="F315" s="0" t="e">
        <f aca="false">ABS(B$160-E315)</f>
        <v>#VALUE!</v>
      </c>
    </row>
    <row r="316" customFormat="false" ht="12.75" hidden="true" customHeight="false" outlineLevel="0" collapsed="false">
      <c r="B316" s="12" t="e">
        <f aca="false">IF(F316=MIN(F$162:F$362),1,0)</f>
        <v>#VALUE!</v>
      </c>
      <c r="C316" s="0" t="n">
        <v>154</v>
      </c>
      <c r="D316" s="0" t="n">
        <v>3750</v>
      </c>
      <c r="E316" s="0" t="n">
        <f aca="false">2*D316</f>
        <v>7500</v>
      </c>
      <c r="F316" s="0" t="e">
        <f aca="false">ABS(B$160-E316)</f>
        <v>#VALUE!</v>
      </c>
    </row>
    <row r="317" customFormat="false" ht="12.75" hidden="true" customHeight="false" outlineLevel="0" collapsed="false">
      <c r="B317" s="12" t="e">
        <f aca="false">IF(F317=MIN(F$162:F$362),1,0)</f>
        <v>#VALUE!</v>
      </c>
      <c r="C317" s="0" t="n">
        <v>155</v>
      </c>
      <c r="D317" s="0" t="n">
        <v>3875</v>
      </c>
      <c r="E317" s="0" t="n">
        <f aca="false">2*D317</f>
        <v>7750</v>
      </c>
      <c r="F317" s="0" t="e">
        <f aca="false">ABS(B$160-E317)</f>
        <v>#VALUE!</v>
      </c>
    </row>
    <row r="318" customFormat="false" ht="12.75" hidden="true" customHeight="false" outlineLevel="0" collapsed="false">
      <c r="B318" s="12" t="e">
        <f aca="false">IF(F318=MIN(F$162:F$362),1,0)</f>
        <v>#VALUE!</v>
      </c>
      <c r="C318" s="0" t="n">
        <v>156</v>
      </c>
      <c r="D318" s="0" t="n">
        <v>4000</v>
      </c>
      <c r="E318" s="0" t="n">
        <f aca="false">2*D318</f>
        <v>8000</v>
      </c>
      <c r="F318" s="0" t="e">
        <f aca="false">ABS(B$160-E318)</f>
        <v>#VALUE!</v>
      </c>
    </row>
    <row r="319" customFormat="false" ht="12.75" hidden="true" customHeight="false" outlineLevel="0" collapsed="false">
      <c r="B319" s="12" t="e">
        <f aca="false">IF(F319=MIN(F$162:F$362),1,0)</f>
        <v>#VALUE!</v>
      </c>
      <c r="C319" s="0" t="n">
        <v>157</v>
      </c>
      <c r="D319" s="0" t="n">
        <v>4125</v>
      </c>
      <c r="E319" s="0" t="n">
        <f aca="false">2*D319</f>
        <v>8250</v>
      </c>
      <c r="F319" s="0" t="e">
        <f aca="false">ABS(B$160-E319)</f>
        <v>#VALUE!</v>
      </c>
    </row>
    <row r="320" customFormat="false" ht="12.75" hidden="true" customHeight="false" outlineLevel="0" collapsed="false">
      <c r="B320" s="12" t="e">
        <f aca="false">IF(F320=MIN(F$162:F$362),1,0)</f>
        <v>#VALUE!</v>
      </c>
      <c r="C320" s="0" t="n">
        <v>158</v>
      </c>
      <c r="D320" s="0" t="n">
        <v>4250</v>
      </c>
      <c r="E320" s="0" t="n">
        <f aca="false">2*D320</f>
        <v>8500</v>
      </c>
      <c r="F320" s="0" t="e">
        <f aca="false">ABS(B$160-E320)</f>
        <v>#VALUE!</v>
      </c>
    </row>
    <row r="321" customFormat="false" ht="12.75" hidden="true" customHeight="false" outlineLevel="0" collapsed="false">
      <c r="B321" s="12" t="e">
        <f aca="false">IF(F321=MIN(F$162:F$362),1,0)</f>
        <v>#VALUE!</v>
      </c>
      <c r="C321" s="0" t="n">
        <v>159</v>
      </c>
      <c r="D321" s="0" t="n">
        <v>4375</v>
      </c>
      <c r="E321" s="0" t="n">
        <f aca="false">2*D321</f>
        <v>8750</v>
      </c>
      <c r="F321" s="0" t="e">
        <f aca="false">ABS(B$160-E321)</f>
        <v>#VALUE!</v>
      </c>
    </row>
    <row r="322" customFormat="false" ht="12.75" hidden="true" customHeight="false" outlineLevel="0" collapsed="false">
      <c r="B322" s="12" t="e">
        <f aca="false">IF(F322=MIN(F$162:F$362),1,0)</f>
        <v>#VALUE!</v>
      </c>
      <c r="C322" s="0" t="n">
        <v>160</v>
      </c>
      <c r="D322" s="0" t="n">
        <v>4500</v>
      </c>
      <c r="E322" s="0" t="n">
        <f aca="false">2*D322</f>
        <v>9000</v>
      </c>
      <c r="F322" s="0" t="e">
        <f aca="false">ABS(B$160-E322)</f>
        <v>#VALUE!</v>
      </c>
    </row>
    <row r="323" customFormat="false" ht="12.75" hidden="true" customHeight="false" outlineLevel="0" collapsed="false">
      <c r="B323" s="12" t="e">
        <f aca="false">IF(F323=MIN(F$162:F$362),1,0)</f>
        <v>#VALUE!</v>
      </c>
      <c r="C323" s="0" t="n">
        <v>161</v>
      </c>
      <c r="D323" s="0" t="n">
        <v>4625</v>
      </c>
      <c r="E323" s="0" t="n">
        <f aca="false">2*D323</f>
        <v>9250</v>
      </c>
      <c r="F323" s="0" t="e">
        <f aca="false">ABS(B$160-E323)</f>
        <v>#VALUE!</v>
      </c>
    </row>
    <row r="324" customFormat="false" ht="12.75" hidden="true" customHeight="false" outlineLevel="0" collapsed="false">
      <c r="B324" s="12" t="e">
        <f aca="false">IF(F324=MIN(F$162:F$362),1,0)</f>
        <v>#VALUE!</v>
      </c>
      <c r="C324" s="0" t="n">
        <v>162</v>
      </c>
      <c r="D324" s="0" t="n">
        <v>4750</v>
      </c>
      <c r="E324" s="0" t="n">
        <f aca="false">2*D324</f>
        <v>9500</v>
      </c>
      <c r="F324" s="0" t="e">
        <f aca="false">ABS(B$160-E324)</f>
        <v>#VALUE!</v>
      </c>
    </row>
    <row r="325" customFormat="false" ht="12.75" hidden="true" customHeight="false" outlineLevel="0" collapsed="false">
      <c r="B325" s="12" t="e">
        <f aca="false">IF(F325=MIN(F$162:F$362),1,0)</f>
        <v>#VALUE!</v>
      </c>
      <c r="C325" s="0" t="n">
        <v>163</v>
      </c>
      <c r="D325" s="0" t="n">
        <v>4875</v>
      </c>
      <c r="E325" s="0" t="n">
        <f aca="false">2*D325</f>
        <v>9750</v>
      </c>
      <c r="F325" s="0" t="e">
        <f aca="false">ABS(B$160-E325)</f>
        <v>#VALUE!</v>
      </c>
    </row>
    <row r="326" customFormat="false" ht="12.75" hidden="true" customHeight="false" outlineLevel="0" collapsed="false">
      <c r="B326" s="12" t="e">
        <f aca="false">IF(F326=MIN(F$162:F$362),1,0)</f>
        <v>#VALUE!</v>
      </c>
      <c r="C326" s="0" t="n">
        <v>164</v>
      </c>
      <c r="D326" s="0" t="n">
        <v>5000</v>
      </c>
      <c r="E326" s="0" t="n">
        <f aca="false">2*D326</f>
        <v>10000</v>
      </c>
      <c r="F326" s="0" t="e">
        <f aca="false">ABS(B$160-E326)</f>
        <v>#VALUE!</v>
      </c>
    </row>
    <row r="327" customFormat="false" ht="12.75" hidden="true" customHeight="false" outlineLevel="0" collapsed="false">
      <c r="B327" s="12" t="e">
        <f aca="false">IF(F327=MIN(F$162:F$362),1,0)</f>
        <v>#VALUE!</v>
      </c>
      <c r="C327" s="0" t="n">
        <v>165</v>
      </c>
      <c r="D327" s="0" t="n">
        <v>5150</v>
      </c>
      <c r="E327" s="0" t="n">
        <f aca="false">2*D327</f>
        <v>10300</v>
      </c>
      <c r="F327" s="0" t="e">
        <f aca="false">ABS(B$160-E327)</f>
        <v>#VALUE!</v>
      </c>
    </row>
    <row r="328" customFormat="false" ht="12.75" hidden="true" customHeight="false" outlineLevel="0" collapsed="false">
      <c r="B328" s="12" t="e">
        <f aca="false">IF(F328=MIN(F$162:F$362),1,0)</f>
        <v>#VALUE!</v>
      </c>
      <c r="C328" s="0" t="n">
        <v>166</v>
      </c>
      <c r="D328" s="0" t="n">
        <v>5300</v>
      </c>
      <c r="E328" s="0" t="n">
        <f aca="false">2*D328</f>
        <v>10600</v>
      </c>
      <c r="F328" s="0" t="e">
        <f aca="false">ABS(B$160-E328)</f>
        <v>#VALUE!</v>
      </c>
    </row>
    <row r="329" customFormat="false" ht="12.75" hidden="true" customHeight="false" outlineLevel="0" collapsed="false">
      <c r="B329" s="12" t="e">
        <f aca="false">IF(F329=MIN(F$162:F$362),1,0)</f>
        <v>#VALUE!</v>
      </c>
      <c r="C329" s="0" t="n">
        <v>167</v>
      </c>
      <c r="D329" s="0" t="n">
        <v>5450</v>
      </c>
      <c r="E329" s="0" t="n">
        <f aca="false">2*D329</f>
        <v>10900</v>
      </c>
      <c r="F329" s="0" t="e">
        <f aca="false">ABS(B$160-E329)</f>
        <v>#VALUE!</v>
      </c>
    </row>
    <row r="330" customFormat="false" ht="12.75" hidden="true" customHeight="false" outlineLevel="0" collapsed="false">
      <c r="B330" s="12" t="e">
        <f aca="false">IF(F330=MIN(F$162:F$362),1,0)</f>
        <v>#VALUE!</v>
      </c>
      <c r="C330" s="0" t="n">
        <v>168</v>
      </c>
      <c r="D330" s="0" t="n">
        <v>5600</v>
      </c>
      <c r="E330" s="0" t="n">
        <f aca="false">2*D330</f>
        <v>11200</v>
      </c>
      <c r="F330" s="0" t="e">
        <f aca="false">ABS(B$160-E330)</f>
        <v>#VALUE!</v>
      </c>
    </row>
    <row r="331" customFormat="false" ht="12.75" hidden="true" customHeight="false" outlineLevel="0" collapsed="false">
      <c r="B331" s="12" t="e">
        <f aca="false">IF(F331=MIN(F$162:F$362),1,0)</f>
        <v>#VALUE!</v>
      </c>
      <c r="C331" s="0" t="n">
        <v>169</v>
      </c>
      <c r="D331" s="0" t="n">
        <v>5800</v>
      </c>
      <c r="E331" s="0" t="n">
        <f aca="false">2*D331</f>
        <v>11600</v>
      </c>
      <c r="F331" s="0" t="e">
        <f aca="false">ABS(B$160-E331)</f>
        <v>#VALUE!</v>
      </c>
    </row>
    <row r="332" customFormat="false" ht="12.75" hidden="true" customHeight="false" outlineLevel="0" collapsed="false">
      <c r="B332" s="12" t="e">
        <f aca="false">IF(F332=MIN(F$162:F$362),1,0)</f>
        <v>#VALUE!</v>
      </c>
      <c r="C332" s="0" t="n">
        <v>170</v>
      </c>
      <c r="D332" s="0" t="n">
        <v>6000</v>
      </c>
      <c r="E332" s="0" t="n">
        <f aca="false">2*D332</f>
        <v>12000</v>
      </c>
      <c r="F332" s="0" t="e">
        <f aca="false">ABS(B$160-E332)</f>
        <v>#VALUE!</v>
      </c>
    </row>
    <row r="333" customFormat="false" ht="12.75" hidden="true" customHeight="false" outlineLevel="0" collapsed="false">
      <c r="B333" s="12" t="e">
        <f aca="false">IF(F333=MIN(F$162:F$362),1,0)</f>
        <v>#VALUE!</v>
      </c>
      <c r="C333" s="0" t="n">
        <v>171</v>
      </c>
      <c r="D333" s="0" t="n">
        <v>6150</v>
      </c>
      <c r="E333" s="0" t="n">
        <f aca="false">2*D333</f>
        <v>12300</v>
      </c>
      <c r="F333" s="0" t="e">
        <f aca="false">ABS(B$160-E333)</f>
        <v>#VALUE!</v>
      </c>
    </row>
    <row r="334" customFormat="false" ht="12.75" hidden="true" customHeight="false" outlineLevel="0" collapsed="false">
      <c r="B334" s="12" t="e">
        <f aca="false">IF(F334=MIN(F$162:F$362),1,0)</f>
        <v>#VALUE!</v>
      </c>
      <c r="C334" s="0" t="n">
        <v>172</v>
      </c>
      <c r="D334" s="0" t="n">
        <v>6300</v>
      </c>
      <c r="E334" s="0" t="n">
        <f aca="false">2*D334</f>
        <v>12600</v>
      </c>
      <c r="F334" s="0" t="e">
        <f aca="false">ABS(B$160-E334)</f>
        <v>#VALUE!</v>
      </c>
    </row>
    <row r="335" customFormat="false" ht="12.75" hidden="true" customHeight="false" outlineLevel="0" collapsed="false">
      <c r="B335" s="12" t="e">
        <f aca="false">IF(F335=MIN(F$162:F$362),1,0)</f>
        <v>#VALUE!</v>
      </c>
      <c r="C335" s="0" t="n">
        <v>173</v>
      </c>
      <c r="D335" s="0" t="n">
        <v>6500</v>
      </c>
      <c r="E335" s="0" t="n">
        <f aca="false">2*D335</f>
        <v>13000</v>
      </c>
      <c r="F335" s="0" t="e">
        <f aca="false">ABS(B$160-E335)</f>
        <v>#VALUE!</v>
      </c>
    </row>
    <row r="336" customFormat="false" ht="12.75" hidden="true" customHeight="false" outlineLevel="0" collapsed="false">
      <c r="B336" s="12" t="e">
        <f aca="false">IF(F336=MIN(F$162:F$362),1,0)</f>
        <v>#VALUE!</v>
      </c>
      <c r="C336" s="0" t="n">
        <v>174</v>
      </c>
      <c r="D336" s="0" t="n">
        <v>6700</v>
      </c>
      <c r="E336" s="0" t="n">
        <f aca="false">2*D336</f>
        <v>13400</v>
      </c>
      <c r="F336" s="0" t="e">
        <f aca="false">ABS(B$160-E336)</f>
        <v>#VALUE!</v>
      </c>
    </row>
    <row r="337" customFormat="false" ht="12.75" hidden="true" customHeight="false" outlineLevel="0" collapsed="false">
      <c r="B337" s="12" t="e">
        <f aca="false">IF(F337=MIN(F$162:F$362),1,0)</f>
        <v>#VALUE!</v>
      </c>
      <c r="C337" s="0" t="n">
        <v>175</v>
      </c>
      <c r="D337" s="0" t="n">
        <v>6900</v>
      </c>
      <c r="E337" s="0" t="n">
        <f aca="false">2*D337</f>
        <v>13800</v>
      </c>
      <c r="F337" s="0" t="e">
        <f aca="false">ABS(B$160-E337)</f>
        <v>#VALUE!</v>
      </c>
    </row>
    <row r="338" customFormat="false" ht="12.75" hidden="true" customHeight="false" outlineLevel="0" collapsed="false">
      <c r="B338" s="12" t="e">
        <f aca="false">IF(F338=MIN(F$162:F$362),1,0)</f>
        <v>#VALUE!</v>
      </c>
      <c r="C338" s="0" t="n">
        <v>176</v>
      </c>
      <c r="D338" s="0" t="n">
        <v>7100</v>
      </c>
      <c r="E338" s="0" t="n">
        <f aca="false">2*D338</f>
        <v>14200</v>
      </c>
      <c r="F338" s="0" t="e">
        <f aca="false">ABS(B$160-E338)</f>
        <v>#VALUE!</v>
      </c>
    </row>
    <row r="339" customFormat="false" ht="12.75" hidden="true" customHeight="false" outlineLevel="0" collapsed="false">
      <c r="B339" s="12" t="e">
        <f aca="false">IF(F339=MIN(F$162:F$362),1,0)</f>
        <v>#VALUE!</v>
      </c>
      <c r="C339" s="0" t="n">
        <v>177</v>
      </c>
      <c r="D339" s="0" t="n">
        <v>7300</v>
      </c>
      <c r="E339" s="0" t="n">
        <f aca="false">2*D339</f>
        <v>14600</v>
      </c>
      <c r="F339" s="0" t="e">
        <f aca="false">ABS(B$160-E339)</f>
        <v>#VALUE!</v>
      </c>
    </row>
    <row r="340" customFormat="false" ht="12.75" hidden="true" customHeight="false" outlineLevel="0" collapsed="false">
      <c r="B340" s="12" t="e">
        <f aca="false">IF(F340=MIN(F$162:F$362),1,0)</f>
        <v>#VALUE!</v>
      </c>
      <c r="C340" s="0" t="n">
        <v>178</v>
      </c>
      <c r="D340" s="0" t="n">
        <v>7500</v>
      </c>
      <c r="E340" s="0" t="n">
        <f aca="false">2*D340</f>
        <v>15000</v>
      </c>
      <c r="F340" s="0" t="e">
        <f aca="false">ABS(B$160-E340)</f>
        <v>#VALUE!</v>
      </c>
    </row>
    <row r="341" customFormat="false" ht="12.75" hidden="true" customHeight="false" outlineLevel="0" collapsed="false">
      <c r="B341" s="12" t="e">
        <f aca="false">IF(F341=MIN(F$162:F$362),1,0)</f>
        <v>#VALUE!</v>
      </c>
      <c r="C341" s="0" t="n">
        <v>179</v>
      </c>
      <c r="D341" s="0" t="n">
        <v>7750</v>
      </c>
      <c r="E341" s="0" t="n">
        <f aca="false">2*D341</f>
        <v>15500</v>
      </c>
      <c r="F341" s="0" t="e">
        <f aca="false">ABS(B$160-E341)</f>
        <v>#VALUE!</v>
      </c>
    </row>
    <row r="342" customFormat="false" ht="12.75" hidden="true" customHeight="false" outlineLevel="0" collapsed="false">
      <c r="B342" s="12" t="e">
        <f aca="false">IF(F342=MIN(F$162:F$362),1,0)</f>
        <v>#VALUE!</v>
      </c>
      <c r="C342" s="0" t="n">
        <v>180</v>
      </c>
      <c r="D342" s="0" t="n">
        <v>8000</v>
      </c>
      <c r="E342" s="0" t="n">
        <f aca="false">2*D342</f>
        <v>16000</v>
      </c>
      <c r="F342" s="0" t="e">
        <f aca="false">ABS(B$160-E342)</f>
        <v>#VALUE!</v>
      </c>
    </row>
    <row r="343" customFormat="false" ht="12.75" hidden="true" customHeight="false" outlineLevel="0" collapsed="false">
      <c r="B343" s="12" t="e">
        <f aca="false">IF(F343=MIN(F$162:F$362),1,0)</f>
        <v>#VALUE!</v>
      </c>
      <c r="C343" s="0" t="n">
        <v>181</v>
      </c>
      <c r="D343" s="0" t="n">
        <v>8250</v>
      </c>
      <c r="E343" s="0" t="n">
        <f aca="false">2*D343</f>
        <v>16500</v>
      </c>
      <c r="F343" s="0" t="e">
        <f aca="false">ABS(B$160-E343)</f>
        <v>#VALUE!</v>
      </c>
    </row>
    <row r="344" customFormat="false" ht="12.75" hidden="true" customHeight="false" outlineLevel="0" collapsed="false">
      <c r="B344" s="12" t="e">
        <f aca="false">IF(F344=MIN(F$162:F$362),1,0)</f>
        <v>#VALUE!</v>
      </c>
      <c r="C344" s="0" t="n">
        <v>182</v>
      </c>
      <c r="D344" s="0" t="n">
        <v>8500</v>
      </c>
      <c r="E344" s="0" t="n">
        <f aca="false">2*D344</f>
        <v>17000</v>
      </c>
      <c r="F344" s="0" t="e">
        <f aca="false">ABS(B$160-E344)</f>
        <v>#VALUE!</v>
      </c>
    </row>
    <row r="345" customFormat="false" ht="12.75" hidden="true" customHeight="false" outlineLevel="0" collapsed="false">
      <c r="B345" s="12" t="e">
        <f aca="false">IF(F345=MIN(F$162:F$362),1,0)</f>
        <v>#VALUE!</v>
      </c>
      <c r="C345" s="0" t="n">
        <v>183</v>
      </c>
      <c r="D345" s="0" t="n">
        <v>8750</v>
      </c>
      <c r="E345" s="0" t="n">
        <f aca="false">2*D345</f>
        <v>17500</v>
      </c>
      <c r="F345" s="0" t="e">
        <f aca="false">ABS(B$160-E345)</f>
        <v>#VALUE!</v>
      </c>
    </row>
    <row r="346" customFormat="false" ht="12.75" hidden="true" customHeight="false" outlineLevel="0" collapsed="false">
      <c r="B346" s="12" t="e">
        <f aca="false">IF(F346=MIN(F$162:F$362),1,0)</f>
        <v>#VALUE!</v>
      </c>
      <c r="C346" s="0" t="n">
        <v>184</v>
      </c>
      <c r="D346" s="0" t="n">
        <v>9000</v>
      </c>
      <c r="E346" s="0" t="n">
        <f aca="false">2*D346</f>
        <v>18000</v>
      </c>
      <c r="F346" s="0" t="e">
        <f aca="false">ABS(B$160-E346)</f>
        <v>#VALUE!</v>
      </c>
    </row>
    <row r="347" customFormat="false" ht="12.75" hidden="true" customHeight="false" outlineLevel="0" collapsed="false">
      <c r="B347" s="12" t="e">
        <f aca="false">IF(F347=MIN(F$162:F$362),1,0)</f>
        <v>#VALUE!</v>
      </c>
      <c r="C347" s="0" t="n">
        <v>185</v>
      </c>
      <c r="D347" s="0" t="n">
        <v>9250</v>
      </c>
      <c r="E347" s="0" t="n">
        <f aca="false">2*D347</f>
        <v>18500</v>
      </c>
      <c r="F347" s="0" t="e">
        <f aca="false">ABS(B$160-E347)</f>
        <v>#VALUE!</v>
      </c>
    </row>
    <row r="348" customFormat="false" ht="12.75" hidden="true" customHeight="false" outlineLevel="0" collapsed="false">
      <c r="B348" s="12" t="e">
        <f aca="false">IF(F348=MIN(F$162:F$362),1,0)</f>
        <v>#VALUE!</v>
      </c>
      <c r="C348" s="0" t="n">
        <v>186</v>
      </c>
      <c r="D348" s="0" t="n">
        <v>9500</v>
      </c>
      <c r="E348" s="0" t="n">
        <f aca="false">2*D348</f>
        <v>19000</v>
      </c>
      <c r="F348" s="0" t="e">
        <f aca="false">ABS(B$160-E348)</f>
        <v>#VALUE!</v>
      </c>
    </row>
    <row r="349" customFormat="false" ht="12.75" hidden="true" customHeight="false" outlineLevel="0" collapsed="false">
      <c r="B349" s="12" t="e">
        <f aca="false">IF(F349=MIN(F$162:F$362),1,0)</f>
        <v>#VALUE!</v>
      </c>
      <c r="C349" s="0" t="n">
        <v>187</v>
      </c>
      <c r="D349" s="0" t="n">
        <v>9750</v>
      </c>
      <c r="E349" s="0" t="n">
        <f aca="false">2*D349</f>
        <v>19500</v>
      </c>
      <c r="F349" s="0" t="e">
        <f aca="false">ABS(B$160-E349)</f>
        <v>#VALUE!</v>
      </c>
    </row>
    <row r="350" customFormat="false" ht="12.75" hidden="true" customHeight="false" outlineLevel="0" collapsed="false">
      <c r="B350" s="12" t="e">
        <f aca="false">IF(F350=MIN(F$162:F$362),1,0)</f>
        <v>#VALUE!</v>
      </c>
      <c r="C350" s="0" t="n">
        <v>188</v>
      </c>
      <c r="D350" s="0" t="n">
        <v>10000</v>
      </c>
      <c r="E350" s="0" t="n">
        <f aca="false">2*D350</f>
        <v>20000</v>
      </c>
      <c r="F350" s="0" t="e">
        <f aca="false">ABS(B$160-E350)</f>
        <v>#VALUE!</v>
      </c>
    </row>
    <row r="351" customFormat="false" ht="12.75" hidden="true" customHeight="false" outlineLevel="0" collapsed="false">
      <c r="B351" s="12" t="e">
        <f aca="false">IF(F351=MIN(F$162:F$362),1,0)</f>
        <v>#VALUE!</v>
      </c>
      <c r="C351" s="0" t="n">
        <v>189</v>
      </c>
      <c r="D351" s="0" t="n">
        <v>10300</v>
      </c>
      <c r="E351" s="0" t="n">
        <f aca="false">2*D351</f>
        <v>20600</v>
      </c>
      <c r="F351" s="0" t="e">
        <f aca="false">ABS(B$160-E351)</f>
        <v>#VALUE!</v>
      </c>
    </row>
    <row r="352" customFormat="false" ht="12.75" hidden="true" customHeight="false" outlineLevel="0" collapsed="false">
      <c r="B352" s="12" t="e">
        <f aca="false">IF(F352=MIN(F$162:F$362),1,0)</f>
        <v>#VALUE!</v>
      </c>
      <c r="C352" s="0" t="n">
        <v>190</v>
      </c>
      <c r="D352" s="0" t="n">
        <v>10600</v>
      </c>
      <c r="E352" s="0" t="n">
        <f aca="false">2*D352</f>
        <v>21200</v>
      </c>
      <c r="F352" s="0" t="e">
        <f aca="false">ABS(B$160-E352)</f>
        <v>#VALUE!</v>
      </c>
    </row>
    <row r="353" customFormat="false" ht="12.75" hidden="true" customHeight="false" outlineLevel="0" collapsed="false">
      <c r="B353" s="12" t="e">
        <f aca="false">IF(F353=MIN(F$162:F$362),1,0)</f>
        <v>#VALUE!</v>
      </c>
      <c r="C353" s="0" t="n">
        <v>191</v>
      </c>
      <c r="D353" s="0" t="n">
        <v>10900</v>
      </c>
      <c r="E353" s="0" t="n">
        <f aca="false">2*D353</f>
        <v>21800</v>
      </c>
      <c r="F353" s="0" t="e">
        <f aca="false">ABS(B$160-E353)</f>
        <v>#VALUE!</v>
      </c>
    </row>
    <row r="354" customFormat="false" ht="12.75" hidden="true" customHeight="false" outlineLevel="0" collapsed="false">
      <c r="B354" s="12" t="e">
        <f aca="false">IF(F354=MIN(F$162:F$362),1,0)</f>
        <v>#VALUE!</v>
      </c>
      <c r="C354" s="0" t="n">
        <v>192</v>
      </c>
      <c r="D354" s="0" t="n">
        <v>11200</v>
      </c>
      <c r="E354" s="0" t="n">
        <f aca="false">2*D354</f>
        <v>22400</v>
      </c>
      <c r="F354" s="0" t="e">
        <f aca="false">ABS(B$160-E354)</f>
        <v>#VALUE!</v>
      </c>
    </row>
    <row r="355" customFormat="false" ht="12.75" hidden="true" customHeight="false" outlineLevel="0" collapsed="false">
      <c r="B355" s="12" t="e">
        <f aca="false">IF(F355=MIN(F$162:F$362),1,0)</f>
        <v>#VALUE!</v>
      </c>
      <c r="C355" s="0" t="n">
        <v>193</v>
      </c>
      <c r="D355" s="0" t="n">
        <v>11500</v>
      </c>
      <c r="E355" s="0" t="n">
        <f aca="false">2*D355</f>
        <v>23000</v>
      </c>
      <c r="F355" s="0" t="e">
        <f aca="false">ABS(B$160-E355)</f>
        <v>#VALUE!</v>
      </c>
    </row>
    <row r="356" customFormat="false" ht="12.75" hidden="true" customHeight="false" outlineLevel="0" collapsed="false">
      <c r="B356" s="12" t="e">
        <f aca="false">IF(F356=MIN(F$162:F$362),1,0)</f>
        <v>#VALUE!</v>
      </c>
      <c r="C356" s="0" t="n">
        <v>194</v>
      </c>
      <c r="D356" s="0" t="n">
        <v>11800</v>
      </c>
      <c r="E356" s="0" t="n">
        <f aca="false">2*D356</f>
        <v>23600</v>
      </c>
      <c r="F356" s="0" t="e">
        <f aca="false">ABS(B$160-E356)</f>
        <v>#VALUE!</v>
      </c>
    </row>
    <row r="357" customFormat="false" ht="12.75" hidden="true" customHeight="false" outlineLevel="0" collapsed="false">
      <c r="B357" s="12" t="e">
        <f aca="false">IF(F357=MIN(F$162:F$362),1,0)</f>
        <v>#VALUE!</v>
      </c>
      <c r="C357" s="0" t="n">
        <v>195</v>
      </c>
      <c r="D357" s="0" t="n">
        <v>12150</v>
      </c>
      <c r="E357" s="0" t="n">
        <f aca="false">2*D357</f>
        <v>24300</v>
      </c>
      <c r="F357" s="0" t="e">
        <f aca="false">ABS(B$160-E357)</f>
        <v>#VALUE!</v>
      </c>
    </row>
    <row r="358" customFormat="false" ht="12.75" hidden="true" customHeight="false" outlineLevel="0" collapsed="false">
      <c r="B358" s="12" t="e">
        <f aca="false">IF(F358=MIN(F$162:F$362),1,0)</f>
        <v>#VALUE!</v>
      </c>
      <c r="C358" s="0" t="n">
        <v>196</v>
      </c>
      <c r="D358" s="0" t="n">
        <v>12500</v>
      </c>
      <c r="E358" s="0" t="n">
        <f aca="false">2*D358</f>
        <v>25000</v>
      </c>
      <c r="F358" s="0" t="e">
        <f aca="false">ABS(B$160-E358)</f>
        <v>#VALUE!</v>
      </c>
    </row>
    <row r="359" customFormat="false" ht="12.75" hidden="true" customHeight="false" outlineLevel="0" collapsed="false">
      <c r="B359" s="12" t="e">
        <f aca="false">IF(F359=MIN(F$162:F$362),1,0)</f>
        <v>#VALUE!</v>
      </c>
      <c r="C359" s="0" t="n">
        <v>197</v>
      </c>
      <c r="D359" s="0" t="n">
        <v>12850</v>
      </c>
      <c r="E359" s="0" t="n">
        <f aca="false">2*D359</f>
        <v>25700</v>
      </c>
      <c r="F359" s="0" t="e">
        <f aca="false">ABS(B$160-E359)</f>
        <v>#VALUE!</v>
      </c>
    </row>
    <row r="360" customFormat="false" ht="12.75" hidden="true" customHeight="false" outlineLevel="0" collapsed="false">
      <c r="B360" s="12" t="e">
        <f aca="false">IF(F360=MIN(F$162:F$362),1,0)</f>
        <v>#VALUE!</v>
      </c>
      <c r="C360" s="0" t="n">
        <v>198</v>
      </c>
      <c r="D360" s="0" t="n">
        <v>13200</v>
      </c>
      <c r="E360" s="0" t="n">
        <f aca="false">2*D360</f>
        <v>26400</v>
      </c>
      <c r="F360" s="0" t="e">
        <f aca="false">ABS(B$160-E360)</f>
        <v>#VALUE!</v>
      </c>
    </row>
    <row r="361" customFormat="false" ht="12.75" hidden="true" customHeight="false" outlineLevel="0" collapsed="false">
      <c r="B361" s="12" t="e">
        <f aca="false">IF(F361=MIN(F$162:F$362),1,0)</f>
        <v>#VALUE!</v>
      </c>
      <c r="C361" s="0" t="n">
        <v>199</v>
      </c>
      <c r="D361" s="0" t="n">
        <v>13600</v>
      </c>
      <c r="E361" s="0" t="n">
        <f aca="false">2*D361</f>
        <v>27200</v>
      </c>
      <c r="F361" s="0" t="e">
        <f aca="false">ABS(B$160-E361)</f>
        <v>#VALUE!</v>
      </c>
    </row>
    <row r="362" customFormat="false" ht="12.75" hidden="true" customHeight="false" outlineLevel="0" collapsed="false">
      <c r="B362" s="12" t="e">
        <f aca="false">IF(F362=MIN(F$162:F$362),1,0)</f>
        <v>#VALUE!</v>
      </c>
      <c r="C362" s="0" t="n">
        <v>200</v>
      </c>
      <c r="D362" s="0" t="n">
        <v>14000</v>
      </c>
      <c r="E362" s="0" t="n">
        <f aca="false">2*D362</f>
        <v>28000</v>
      </c>
      <c r="F362" s="0" t="e">
        <f aca="false">ABS(B$160-E362)</f>
        <v>#VALUE!</v>
      </c>
    </row>
  </sheetData>
  <sheetProtection algorithmName="SHA-512" hashValue="FV5AGZNmAJvGgMYVroiqgdGpS4+CAdEDKwn/QqoxUWuyaLhKkQxiFZIGlLFAAL+DPRZfsImohJIvqZ1EC+xzVw==" saltValue="CdaRrHwh5dzHYhHjSGQv2Q==" spinCount="100000" sheet="true" objects="true" scenarios="true"/>
  <mergeCells count="33">
    <mergeCell ref="A1:H1"/>
    <mergeCell ref="C5:D5"/>
    <mergeCell ref="C6:D6"/>
    <mergeCell ref="C7:D7"/>
    <mergeCell ref="C8:D8"/>
    <mergeCell ref="C9:D9"/>
    <mergeCell ref="C10:D10"/>
    <mergeCell ref="C11:D11"/>
    <mergeCell ref="C12:D12"/>
    <mergeCell ref="B14:D14"/>
    <mergeCell ref="B20:F20"/>
    <mergeCell ref="C28:F28"/>
    <mergeCell ref="C37:E37"/>
    <mergeCell ref="B43:E43"/>
    <mergeCell ref="F43:G43"/>
    <mergeCell ref="B45:B46"/>
    <mergeCell ref="E45:E46"/>
    <mergeCell ref="B47:B49"/>
    <mergeCell ref="E47:E49"/>
    <mergeCell ref="B52:D52"/>
    <mergeCell ref="B65:D65"/>
    <mergeCell ref="B67:C67"/>
    <mergeCell ref="B68:C68"/>
    <mergeCell ref="B69:C69"/>
    <mergeCell ref="B73:E73"/>
    <mergeCell ref="B75:C76"/>
    <mergeCell ref="B110:D110"/>
    <mergeCell ref="B114:E114"/>
    <mergeCell ref="B124:E124"/>
    <mergeCell ref="B134:E134"/>
    <mergeCell ref="B145:E145"/>
    <mergeCell ref="B146:D146"/>
    <mergeCell ref="B147:D147"/>
  </mergeCells>
  <conditionalFormatting sqref="B112:D112">
    <cfRule type="expression" priority="2" aboveAverage="0" equalAverage="0" bottom="0" percent="0" rank="0" text="" dxfId="6">
      <formula>$C112&gt;=$D112</formula>
    </cfRule>
    <cfRule type="expression" priority="3" aboveAverage="0" equalAverage="0" bottom="0" percent="0" rank="0" text="" dxfId="7">
      <formula>$C112&lt;$D112</formula>
    </cfRule>
  </conditionalFormatting>
  <conditionalFormatting sqref="C130:E130 C140:E140">
    <cfRule type="expression" priority="4" aboveAverage="0" equalAverage="0" bottom="0" percent="0" rank="0" text="" dxfId="8">
      <formula>OR(ISBLANK($D$66),$D$66=0)</formula>
    </cfRule>
    <cfRule type="cellIs" priority="5" operator="lessThanOrEqual" aboveAverage="0" equalAverage="0" bottom="0" percent="0" rank="0" text="" dxfId="9">
      <formula>C131+1</formula>
    </cfRule>
    <cfRule type="cellIs" priority="6" operator="greaterThan" aboveAverage="0" equalAverage="0" bottom="0" percent="0" rank="0" text="" dxfId="10">
      <formula>C131+1</formula>
    </cfRule>
  </conditionalFormatting>
  <conditionalFormatting sqref="E84:E108 E74:E78 B124:E125 B143:B144 D143:E144 B127:E135 C126:E126 B137:E142 C136:E136">
    <cfRule type="expression" priority="7" aboveAverage="0" equalAverage="0" bottom="0" percent="0" rank="0" text="" dxfId="11">
      <formula>OR(ISBLANK($D$66),$D$66=0)</formula>
    </cfRule>
  </conditionalFormatting>
  <conditionalFormatting sqref="C120:E120">
    <cfRule type="cellIs" priority="8" operator="lessThanOrEqual" aboveAverage="0" equalAverage="0" bottom="0" percent="0" rank="0" text="" dxfId="12">
      <formula>C121+1</formula>
    </cfRule>
    <cfRule type="cellIs" priority="9" operator="greaterThan" aboveAverage="0" equalAverage="0" bottom="0" percent="0" rank="0" text="" dxfId="13">
      <formula>C121+1</formula>
    </cfRule>
  </conditionalFormatting>
  <conditionalFormatting sqref="D76">
    <cfRule type="expression" priority="10" aboveAverage="0" equalAverage="0" bottom="0" percent="0" rank="0" text="" dxfId="14">
      <formula>SUM(D79:D108)&lt;&gt;ROUND(D71,0)</formula>
    </cfRule>
    <cfRule type="expression" priority="11" aboveAverage="0" equalAverage="0" bottom="0" percent="0" rank="0" text="" dxfId="15">
      <formula>SUM(D79:D108)=ROUND(D71,0)</formula>
    </cfRule>
  </conditionalFormatting>
  <conditionalFormatting sqref="E76">
    <cfRule type="expression" priority="12" aboveAverage="0" equalAverage="0" bottom="0" percent="0" rank="0" text="" dxfId="16">
      <formula>OR(ISBLANK(D66),D66=0)</formula>
    </cfRule>
    <cfRule type="expression" priority="13" aboveAverage="0" equalAverage="0" bottom="0" percent="0" rank="0" text="" dxfId="17">
      <formula>SUM(E79:E108)&lt;&gt;ROUND(D71+D66,0)</formula>
    </cfRule>
    <cfRule type="expression" priority="14" aboveAverage="0" equalAverage="0" bottom="0" percent="0" rank="0" text="" dxfId="18">
      <formula>SUM(E79:E108)=ROUND(D71+D66,0)</formula>
    </cfRule>
  </conditionalFormatting>
  <conditionalFormatting sqref="D56:D63">
    <cfRule type="expression" priority="15" aboveAverage="0" equalAverage="0" bottom="0" percent="0" rank="0" text="" dxfId="19">
      <formula>SUM($D$54:$D$63)&lt;&gt;$D$17</formula>
    </cfRule>
    <cfRule type="expression" priority="16" aboveAverage="0" equalAverage="0" bottom="0" percent="0" rank="0" text="" dxfId="20">
      <formula>SUM($D$54:$D$63)=$D$17</formula>
    </cfRule>
  </conditionalFormatting>
  <conditionalFormatting sqref="C142">
    <cfRule type="expression" priority="17" aboveAverage="0" equalAverage="0" bottom="0" percent="0" rank="0" text="" dxfId="21">
      <formula>OR(ISBLANK($D$66),$D$66=0)</formula>
    </cfRule>
    <cfRule type="cellIs" priority="18" operator="greaterThanOrEqual" aboveAverage="0" equalAverage="0" bottom="0" percent="0" rank="0" text="" dxfId="22">
      <formula>0.2</formula>
    </cfRule>
    <cfRule type="cellIs" priority="19" operator="lessThan" aboveAverage="0" equalAverage="0" bottom="0" percent="0" rank="0" text="" dxfId="23">
      <formula>0.2</formula>
    </cfRule>
  </conditionalFormatting>
  <conditionalFormatting sqref="C122">
    <cfRule type="cellIs" priority="20" operator="greaterThanOrEqual" aboveAverage="0" equalAverage="0" bottom="0" percent="0" rank="0" text="" dxfId="24">
      <formula>0.3</formula>
    </cfRule>
    <cfRule type="cellIs" priority="21" operator="lessThan" aboveAverage="0" equalAverage="0" bottom="0" percent="0" rank="0" text="" dxfId="25">
      <formula>0.3</formula>
    </cfRule>
  </conditionalFormatting>
  <conditionalFormatting sqref="C132">
    <cfRule type="expression" priority="22" aboveAverage="0" equalAverage="0" bottom="0" percent="0" rank="0" text="" dxfId="26">
      <formula>OR(ISBLANK($D$66),$D$66=0)</formula>
    </cfRule>
    <cfRule type="cellIs" priority="23" operator="greaterThanOrEqual" aboveAverage="0" equalAverage="0" bottom="0" percent="0" rank="0" text="" dxfId="27">
      <formula>0.3</formula>
    </cfRule>
    <cfRule type="cellIs" priority="24" operator="lessThan" aboveAverage="0" equalAverage="0" bottom="0" percent="0" rank="0" text="" dxfId="28">
      <formula>0.3</formula>
    </cfRule>
  </conditionalFormatting>
  <conditionalFormatting sqref="D54:D55">
    <cfRule type="expression" priority="25" aboveAverage="0" equalAverage="0" bottom="0" percent="0" rank="0" text="" dxfId="29">
      <formula>SUM($D$54:$D$63)&lt;&gt;$D$17</formula>
    </cfRule>
    <cfRule type="expression" priority="26" aboveAverage="0" equalAverage="0" bottom="0" percent="0" rank="0" text="" dxfId="30">
      <formula>SUM($D$54:$D$63)=$D$17</formula>
    </cfRule>
  </conditionalFormatting>
  <conditionalFormatting sqref="E79:E83">
    <cfRule type="expression" priority="27" aboveAverage="0" equalAverage="0" bottom="0" percent="0" rank="0" text="" dxfId="31">
      <formula>OR(ISBLANK($D$66),$D$66=0)</formula>
    </cfRule>
  </conditionalFormatting>
  <conditionalFormatting sqref="F147:F148">
    <cfRule type="containsText" priority="28" operator="containsText" aboveAverage="0" equalAverage="0" bottom="0" percent="0" rank="0" text="conforme" dxfId="32">
      <formula>NOT(ISERROR(SEARCH("conforme",F147)))</formula>
    </cfRule>
  </conditionalFormatting>
  <dataValidations count="2">
    <dataValidation allowBlank="true" errorStyle="stop" operator="equal" showDropDown="false" showErrorMessage="true" showInputMessage="false" sqref="D26" type="list">
      <mc:AlternateContent xmlns:x12ac="http://schemas.microsoft.com/office/spreadsheetml/2011/1/ac" xmlns:mc="http://schemas.openxmlformats.org/markup-compatibility/2006">
        <mc:Choice Requires="x12ac">
          <x12ac:list>0,"0,510",0,"0,155",0,"0,350"</x12ac:list>
        </mc:Choice>
        <mc:Fallback>
          <formula1>"0,0,510,0,0,155,0,0,350"</formula1>
        </mc:Fallback>
      </mc:AlternateContent>
      <formula2>0</formula2>
    </dataValidation>
    <dataValidation allowBlank="true" errorStyle="stop" operator="equal" showDropDown="false" showErrorMessage="true" showInputMessage="false" sqref="D25" type="list">
      <mc:AlternateContent xmlns:x12ac="http://schemas.microsoft.com/office/spreadsheetml/2011/1/ac" xmlns:mc="http://schemas.openxmlformats.org/markup-compatibility/2006">
        <mc:Choice Requires="x12ac">
          <x12ac:list>0,"0,840",0,"0,702"</x12ac:list>
        </mc:Choice>
        <mc:Fallback>
          <formula1>"0,0,840,0,0,702"</formula1>
        </mc:Fallback>
      </mc:AlternateContent>
      <formula2>0</formula2>
    </dataValidation>
  </dataValidation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landscape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324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119" width="3.14"/>
    <col collapsed="false" customWidth="true" hidden="false" outlineLevel="0" max="2" min="2" style="119" width="47.43"/>
    <col collapsed="false" customWidth="true" hidden="false" outlineLevel="0" max="3" min="3" style="119" width="19.71"/>
    <col collapsed="false" customWidth="true" hidden="false" outlineLevel="0" max="4" min="4" style="119" width="36.14"/>
    <col collapsed="false" customWidth="true" hidden="false" outlineLevel="0" max="5" min="5" style="119" width="16.86"/>
    <col collapsed="false" customWidth="true" hidden="false" outlineLevel="0" max="6" min="6" style="119" width="25.71"/>
    <col collapsed="false" customWidth="true" hidden="false" outlineLevel="0" max="7" min="7" style="119" width="21.14"/>
    <col collapsed="false" customWidth="true" hidden="false" outlineLevel="0" max="8" min="8" style="119" width="4.14"/>
    <col collapsed="false" customWidth="true" hidden="true" outlineLevel="0" max="9" min="9" style="119" width="22.14"/>
    <col collapsed="false" customWidth="true" hidden="true" outlineLevel="0" max="10" min="10" style="119" width="18"/>
    <col collapsed="false" customWidth="false" hidden="true" outlineLevel="0" max="1024" min="11" style="119" width="11.57"/>
  </cols>
  <sheetData>
    <row r="1" customFormat="false" ht="36.75" hidden="false" customHeight="true" outlineLevel="0" collapsed="false">
      <c r="A1" s="120" t="s">
        <v>178</v>
      </c>
      <c r="B1" s="120"/>
      <c r="C1" s="120"/>
      <c r="D1" s="120"/>
      <c r="E1" s="120"/>
      <c r="F1" s="120"/>
      <c r="G1" s="120"/>
      <c r="H1" s="120"/>
    </row>
    <row r="3" s="121" customFormat="true" ht="18" hidden="false" customHeight="false" outlineLevel="0" collapsed="false">
      <c r="A3" s="121" t="s">
        <v>179</v>
      </c>
      <c r="AMJ3" s="119"/>
    </row>
    <row r="5" customFormat="false" ht="12.75" hidden="false" customHeight="false" outlineLevel="0" collapsed="false">
      <c r="B5" s="119" t="s">
        <v>15</v>
      </c>
      <c r="C5" s="10"/>
      <c r="D5" s="10"/>
    </row>
    <row r="6" customFormat="false" ht="12.75" hidden="false" customHeight="false" outlineLevel="0" collapsed="false">
      <c r="B6" s="119" t="s">
        <v>16</v>
      </c>
      <c r="C6" s="10"/>
      <c r="D6" s="10"/>
    </row>
    <row r="7" customFormat="false" ht="12.75" hidden="false" customHeight="false" outlineLevel="0" collapsed="false">
      <c r="B7" s="119" t="s">
        <v>105</v>
      </c>
      <c r="C7" s="10"/>
      <c r="D7" s="10"/>
    </row>
    <row r="8" customFormat="false" ht="12.75" hidden="false" customHeight="false" outlineLevel="0" collapsed="false">
      <c r="B8" s="119" t="s">
        <v>106</v>
      </c>
      <c r="C8" s="10"/>
      <c r="D8" s="10"/>
    </row>
    <row r="9" customFormat="false" ht="12.75" hidden="false" customHeight="false" outlineLevel="0" collapsed="false">
      <c r="B9" s="119" t="s">
        <v>107</v>
      </c>
      <c r="C9" s="10"/>
      <c r="D9" s="10"/>
    </row>
    <row r="10" customFormat="false" ht="12.75" hidden="false" customHeight="false" outlineLevel="0" collapsed="false">
      <c r="B10" s="119" t="s">
        <v>108</v>
      </c>
      <c r="C10" s="11"/>
      <c r="D10" s="11"/>
    </row>
    <row r="11" customFormat="false" ht="12.75" hidden="false" customHeight="false" outlineLevel="0" collapsed="false">
      <c r="B11" s="119" t="s">
        <v>21</v>
      </c>
      <c r="C11" s="11"/>
      <c r="D11" s="11"/>
    </row>
    <row r="12" customFormat="false" ht="32.25" hidden="false" customHeight="true" outlineLevel="0" collapsed="false">
      <c r="B12" s="122" t="s">
        <v>22</v>
      </c>
      <c r="C12" s="13"/>
      <c r="D12" s="13"/>
    </row>
    <row r="14" customFormat="false" ht="12.75" hidden="false" customHeight="false" outlineLevel="0" collapsed="false">
      <c r="B14" s="123"/>
      <c r="C14" s="123"/>
      <c r="D14" s="123"/>
    </row>
    <row r="15" customFormat="false" ht="12.75" hidden="false" customHeight="false" outlineLevel="0" collapsed="false">
      <c r="B15" s="124" t="s">
        <v>109</v>
      </c>
      <c r="C15" s="125" t="s">
        <v>110</v>
      </c>
      <c r="D15" s="18"/>
      <c r="F15" s="124" t="s">
        <v>27</v>
      </c>
      <c r="G15" s="19"/>
    </row>
    <row r="16" customFormat="false" ht="12.75" hidden="false" customHeight="false" outlineLevel="0" collapsed="false">
      <c r="B16" s="124" t="s">
        <v>25</v>
      </c>
      <c r="C16" s="125" t="s">
        <v>26</v>
      </c>
      <c r="D16" s="18"/>
      <c r="F16" s="124" t="s">
        <v>30</v>
      </c>
      <c r="G16" s="19"/>
    </row>
    <row r="17" customFormat="false" ht="12.75" hidden="false" customHeight="false" outlineLevel="0" collapsed="false">
      <c r="B17" s="126" t="s">
        <v>111</v>
      </c>
      <c r="C17" s="125" t="s">
        <v>29</v>
      </c>
      <c r="D17" s="21"/>
      <c r="F17" s="124" t="s">
        <v>32</v>
      </c>
      <c r="G17" s="127" t="n">
        <f aca="false">G16*G15</f>
        <v>0</v>
      </c>
    </row>
    <row r="18" customFormat="false" ht="12.75" hidden="false" customHeight="false" outlineLevel="0" collapsed="false">
      <c r="B18" s="126" t="s">
        <v>180</v>
      </c>
      <c r="C18" s="125" t="s">
        <v>181</v>
      </c>
      <c r="D18" s="15"/>
    </row>
    <row r="19" customFormat="false" ht="12.75" hidden="false" customHeight="false" outlineLevel="0" collapsed="false">
      <c r="B19" s="128"/>
      <c r="C19" s="129"/>
      <c r="D19" s="130"/>
    </row>
    <row r="20" customFormat="false" ht="12.75" hidden="false" customHeight="false" outlineLevel="0" collapsed="false">
      <c r="B20" s="131" t="s">
        <v>112</v>
      </c>
      <c r="C20" s="131"/>
      <c r="D20" s="131"/>
      <c r="E20" s="131"/>
      <c r="F20" s="131"/>
      <c r="G20" s="128"/>
    </row>
    <row r="21" customFormat="false" ht="12.75" hidden="false" customHeight="false" outlineLevel="0" collapsed="false">
      <c r="B21" s="124" t="s">
        <v>34</v>
      </c>
      <c r="C21" s="26"/>
      <c r="F21" s="132"/>
      <c r="G21" s="128"/>
    </row>
    <row r="22" customFormat="false" ht="12.75" hidden="false" customHeight="false" outlineLevel="0" collapsed="false">
      <c r="B22" s="124" t="s">
        <v>35</v>
      </c>
      <c r="C22" s="26"/>
      <c r="F22" s="132"/>
      <c r="G22" s="128"/>
    </row>
    <row r="23" customFormat="false" ht="12.75" hidden="false" customHeight="false" outlineLevel="0" collapsed="false">
      <c r="B23" s="133"/>
      <c r="C23" s="134"/>
      <c r="F23" s="132"/>
      <c r="G23" s="128"/>
    </row>
    <row r="24" customFormat="false" ht="25.5" hidden="false" customHeight="false" outlineLevel="0" collapsed="false">
      <c r="B24" s="133"/>
      <c r="C24" s="135" t="s">
        <v>36</v>
      </c>
      <c r="D24" s="136" t="s">
        <v>113</v>
      </c>
      <c r="E24" s="137" t="s">
        <v>114</v>
      </c>
      <c r="F24" s="138" t="s">
        <v>38</v>
      </c>
    </row>
    <row r="25" customFormat="false" ht="12.75" hidden="false" customHeight="false" outlineLevel="0" collapsed="false">
      <c r="B25" s="124" t="s">
        <v>115</v>
      </c>
      <c r="C25" s="37"/>
      <c r="D25" s="87" t="n">
        <v>0.84</v>
      </c>
      <c r="E25" s="39"/>
      <c r="F25" s="40"/>
    </row>
    <row r="26" customFormat="false" ht="12.75" hidden="false" customHeight="false" outlineLevel="0" collapsed="false">
      <c r="B26" s="124" t="s">
        <v>116</v>
      </c>
      <c r="C26" s="37"/>
      <c r="D26" s="87" t="n">
        <v>0.51</v>
      </c>
      <c r="E26" s="39"/>
      <c r="F26" s="40"/>
    </row>
    <row r="27" customFormat="false" ht="12.75" hidden="false" customHeight="false" outlineLevel="0" collapsed="false">
      <c r="B27" s="124" t="s">
        <v>117</v>
      </c>
      <c r="C27" s="37"/>
      <c r="D27" s="139" t="n">
        <v>1.09</v>
      </c>
      <c r="E27" s="39"/>
      <c r="F27" s="40"/>
    </row>
    <row r="28" customFormat="false" ht="12.75" hidden="false" customHeight="false" outlineLevel="0" collapsed="false">
      <c r="B28" s="133"/>
      <c r="C28" s="134"/>
      <c r="F28" s="132"/>
      <c r="G28" s="128"/>
    </row>
    <row r="29" customFormat="false" ht="12.75" hidden="false" customHeight="false" outlineLevel="0" collapsed="false">
      <c r="B29" s="133"/>
      <c r="C29" s="125" t="s">
        <v>119</v>
      </c>
      <c r="D29" s="125" t="s">
        <v>120</v>
      </c>
      <c r="E29" s="125" t="s">
        <v>45</v>
      </c>
      <c r="F29" s="132"/>
      <c r="G29" s="128"/>
    </row>
    <row r="30" customFormat="false" ht="12.75" hidden="false" customHeight="false" outlineLevel="0" collapsed="false">
      <c r="B30" s="124" t="s">
        <v>121</v>
      </c>
      <c r="C30" s="140" t="str">
        <f aca="false">IF(G42="","",E30*(G42-E25)/G42)</f>
        <v/>
      </c>
      <c r="D30" s="140" t="str">
        <f aca="false">IF(G42="","",E30-C30)</f>
        <v/>
      </c>
      <c r="E30" s="140" t="n">
        <f aca="false">(0.9-F25)*C25*D25</f>
        <v>0</v>
      </c>
      <c r="F30" s="132"/>
      <c r="G30" s="128"/>
    </row>
    <row r="31" customFormat="false" ht="12.75" hidden="false" customHeight="false" outlineLevel="0" collapsed="false">
      <c r="B31" s="124" t="s">
        <v>122</v>
      </c>
      <c r="C31" s="140" t="str">
        <f aca="false">IF(G42="","",E31*(G42-E26)/G42)</f>
        <v/>
      </c>
      <c r="D31" s="140" t="str">
        <f aca="false">IF(G42="","",E31-C31)</f>
        <v/>
      </c>
      <c r="E31" s="140" t="n">
        <f aca="false">(0.9-F26)*C26*D26</f>
        <v>0</v>
      </c>
      <c r="F31" s="132"/>
      <c r="G31" s="128"/>
    </row>
    <row r="32" customFormat="false" ht="12.75" hidden="false" customHeight="false" outlineLevel="0" collapsed="false">
      <c r="B32" s="124" t="s">
        <v>123</v>
      </c>
      <c r="C32" s="140" t="str">
        <f aca="false">IF(G42="","",E32*(G42-E27)/G42)</f>
        <v/>
      </c>
      <c r="D32" s="140" t="str">
        <f aca="false">IF(G42="","",E32-C32)</f>
        <v/>
      </c>
      <c r="E32" s="140" t="n">
        <f aca="false">(1-F27)*C27*D27</f>
        <v>0</v>
      </c>
      <c r="F32" s="132"/>
      <c r="G32" s="128"/>
    </row>
    <row r="33" customFormat="false" ht="12.75" hidden="false" customHeight="false" outlineLevel="0" collapsed="false">
      <c r="B33" s="141" t="s">
        <v>124</v>
      </c>
      <c r="C33" s="142" t="str">
        <f aca="false">IF(G42="","",C32+C30+C31+C21)</f>
        <v/>
      </c>
      <c r="D33" s="142" t="str">
        <f aca="false">IF(G42="","",D32+D30+D31+C22)</f>
        <v/>
      </c>
      <c r="E33" s="142" t="n">
        <f aca="false">C21+C22+E30+E31+E32</f>
        <v>0</v>
      </c>
      <c r="F33" s="143"/>
      <c r="G33" s="128"/>
    </row>
    <row r="34" customFormat="false" ht="12.75" hidden="false" customHeight="false" outlineLevel="0" collapsed="false">
      <c r="B34" s="128"/>
      <c r="C34" s="129"/>
      <c r="D34" s="130"/>
    </row>
    <row r="35" customFormat="false" ht="12.75" hidden="false" customHeight="false" outlineLevel="0" collapsed="false">
      <c r="B35" s="49" t="s">
        <v>47</v>
      </c>
      <c r="C35" s="49"/>
      <c r="D35" s="49"/>
      <c r="E35" s="49"/>
      <c r="F35" s="131" t="s">
        <v>48</v>
      </c>
      <c r="G35" s="131"/>
    </row>
    <row r="36" customFormat="false" ht="12.75" hidden="false" customHeight="false" outlineLevel="0" collapsed="false">
      <c r="D36" s="125" t="s">
        <v>125</v>
      </c>
      <c r="E36" s="125" t="s">
        <v>50</v>
      </c>
      <c r="G36" s="125" t="s">
        <v>126</v>
      </c>
    </row>
    <row r="37" customFormat="false" ht="12.75" hidden="false" customHeight="false" outlineLevel="0" collapsed="false">
      <c r="B37" s="136" t="s">
        <v>52</v>
      </c>
      <c r="C37" s="144" t="s">
        <v>127</v>
      </c>
      <c r="D37" s="18"/>
      <c r="E37" s="145" t="n">
        <f aca="false">D37+D38</f>
        <v>0</v>
      </c>
      <c r="F37" s="128"/>
    </row>
    <row r="38" customFormat="false" ht="12.75" hidden="false" customHeight="false" outlineLevel="0" collapsed="false">
      <c r="B38" s="136"/>
      <c r="C38" s="119" t="s">
        <v>128</v>
      </c>
      <c r="D38" s="18"/>
      <c r="E38" s="145"/>
      <c r="F38" s="146" t="s">
        <v>129</v>
      </c>
      <c r="G38" s="147"/>
    </row>
    <row r="39" customFormat="false" ht="12.75" hidden="false" customHeight="false" outlineLevel="0" collapsed="false">
      <c r="B39" s="136" t="s">
        <v>53</v>
      </c>
      <c r="C39" s="148" t="s">
        <v>128</v>
      </c>
      <c r="D39" s="54"/>
      <c r="E39" s="149" t="n">
        <f aca="false">D39+D40+D41</f>
        <v>0</v>
      </c>
      <c r="F39" s="150" t="s">
        <v>129</v>
      </c>
      <c r="G39" s="19"/>
    </row>
    <row r="40" customFormat="false" ht="12.75" hidden="false" customHeight="false" outlineLevel="0" collapsed="false">
      <c r="B40" s="136"/>
      <c r="C40" s="124" t="s">
        <v>130</v>
      </c>
      <c r="D40" s="18"/>
      <c r="E40" s="149"/>
      <c r="F40" s="150" t="s">
        <v>131</v>
      </c>
      <c r="G40" s="39"/>
    </row>
    <row r="41" customFormat="false" ht="12.75" hidden="false" customHeight="false" outlineLevel="0" collapsed="false">
      <c r="B41" s="136"/>
      <c r="C41" s="151" t="s">
        <v>132</v>
      </c>
      <c r="D41" s="56"/>
      <c r="E41" s="149"/>
      <c r="F41" s="119" t="s">
        <v>133</v>
      </c>
      <c r="G41" s="58"/>
    </row>
    <row r="42" customFormat="false" ht="12.75" hidden="false" customHeight="false" outlineLevel="0" collapsed="false">
      <c r="F42" s="152" t="s">
        <v>54</v>
      </c>
      <c r="G42" s="153" t="str">
        <f aca="false">IF(ISBLANK(D37),"",G38+G39+(G40*D40+(G40+G41)*D41)/(D39+D40+D41)-(D38/(D37+D38)*G38))</f>
        <v/>
      </c>
    </row>
    <row r="43" customFormat="false" ht="12.75" hidden="false" customHeight="false" outlineLevel="0" collapsed="false">
      <c r="F43" s="154"/>
      <c r="G43" s="155"/>
    </row>
    <row r="44" customFormat="false" ht="12.75" hidden="false" customHeight="false" outlineLevel="0" collapsed="false">
      <c r="B44" s="131" t="s">
        <v>134</v>
      </c>
      <c r="C44" s="131"/>
      <c r="D44" s="131"/>
      <c r="F44" s="154"/>
      <c r="G44" s="155"/>
    </row>
    <row r="45" customFormat="false" ht="25.5" hidden="false" customHeight="false" outlineLevel="0" collapsed="false">
      <c r="B45" s="156" t="s">
        <v>135</v>
      </c>
      <c r="C45" s="137" t="s">
        <v>136</v>
      </c>
      <c r="D45" s="137" t="s">
        <v>137</v>
      </c>
      <c r="F45" s="154"/>
      <c r="G45" s="155"/>
    </row>
    <row r="46" customFormat="false" ht="12.75" hidden="false" customHeight="false" outlineLevel="0" collapsed="false">
      <c r="B46" s="156" t="s">
        <v>138</v>
      </c>
      <c r="C46" s="71"/>
      <c r="D46" s="10"/>
      <c r="F46" s="154"/>
      <c r="G46" s="155"/>
    </row>
    <row r="47" customFormat="false" ht="12.75" hidden="false" customHeight="false" outlineLevel="0" collapsed="false">
      <c r="B47" s="156" t="s">
        <v>139</v>
      </c>
      <c r="C47" s="71"/>
      <c r="D47" s="10"/>
      <c r="F47" s="154"/>
      <c r="G47" s="155"/>
    </row>
    <row r="48" customFormat="false" ht="12.75" hidden="false" customHeight="false" outlineLevel="0" collapsed="false">
      <c r="B48" s="156" t="s">
        <v>140</v>
      </c>
      <c r="C48" s="71"/>
      <c r="D48" s="10"/>
      <c r="F48" s="154"/>
      <c r="G48" s="155"/>
    </row>
    <row r="49" customFormat="false" ht="12.75" hidden="false" customHeight="false" outlineLevel="0" collapsed="false">
      <c r="F49" s="154"/>
      <c r="G49" s="155"/>
    </row>
    <row r="50" customFormat="false" ht="12.75" hidden="false" customHeight="false" outlineLevel="0" collapsed="false">
      <c r="B50" s="131" t="s">
        <v>148</v>
      </c>
      <c r="C50" s="131"/>
      <c r="D50" s="131"/>
      <c r="F50" s="154"/>
      <c r="G50" s="155"/>
    </row>
    <row r="51" customFormat="false" ht="12.75" hidden="false" customHeight="false" outlineLevel="0" collapsed="false">
      <c r="B51" s="124" t="s">
        <v>149</v>
      </c>
      <c r="C51" s="125" t="s">
        <v>150</v>
      </c>
      <c r="D51" s="18"/>
      <c r="E51" s="157" t="str">
        <f aca="false">IF((D51&lt;25),"Impossible de conserver un PTRA : masse maximale au point d'attelage inférieure aux exigences réglementaires","")</f>
        <v>Impossible de conserver un PTRA : masse maximale au point d'attelage inférieure aux exigences réglementaires</v>
      </c>
    </row>
    <row r="52" customFormat="false" ht="12.75" hidden="false" customHeight="false" outlineLevel="0" collapsed="false">
      <c r="B52" s="144" t="s">
        <v>151</v>
      </c>
      <c r="C52" s="144"/>
      <c r="D52" s="39"/>
    </row>
    <row r="53" customFormat="false" ht="12.75" hidden="false" customHeight="false" outlineLevel="0" collapsed="false">
      <c r="B53" s="144" t="s">
        <v>152</v>
      </c>
      <c r="C53" s="144"/>
      <c r="D53" s="158" t="e">
        <f aca="false">D52+G40+G41-C114</f>
        <v>#DIV/0!</v>
      </c>
    </row>
    <row r="54" customFormat="false" ht="12.75" hidden="false" customHeight="false" outlineLevel="0" collapsed="false">
      <c r="B54" s="144" t="s">
        <v>182</v>
      </c>
      <c r="C54" s="144"/>
      <c r="D54" s="158" t="e">
        <f aca="false">G42+D53</f>
        <v>#VALUE!</v>
      </c>
    </row>
    <row r="56" customFormat="false" ht="12.75" hidden="false" customHeight="false" outlineLevel="0" collapsed="false">
      <c r="B56" s="159" t="s">
        <v>56</v>
      </c>
      <c r="C56" s="125"/>
      <c r="D56" s="92"/>
    </row>
    <row r="57" customFormat="false" ht="12.75" hidden="false" customHeight="false" outlineLevel="0" collapsed="false">
      <c r="B57" s="159" t="s">
        <v>57</v>
      </c>
      <c r="C57" s="125"/>
      <c r="D57" s="92"/>
    </row>
    <row r="58" customFormat="false" ht="12.75" hidden="false" customHeight="false" outlineLevel="0" collapsed="false">
      <c r="B58" s="124" t="s">
        <v>58</v>
      </c>
      <c r="C58" s="124"/>
      <c r="D58" s="160" t="e">
        <f aca="false">D57+G40+G41-C114</f>
        <v>#DIV/0!</v>
      </c>
    </row>
    <row r="59" customFormat="false" ht="12.75" hidden="false" customHeight="false" outlineLevel="0" collapsed="false">
      <c r="B59" s="159" t="s">
        <v>59</v>
      </c>
      <c r="C59" s="159"/>
      <c r="D59" s="160" t="e">
        <f aca="false">D56/2-D58</f>
        <v>#DIV/0!</v>
      </c>
    </row>
    <row r="60" customFormat="false" ht="12.75" hidden="false" customHeight="false" outlineLevel="0" collapsed="false">
      <c r="B60" s="159" t="s">
        <v>183</v>
      </c>
      <c r="C60" s="159"/>
      <c r="D60" s="158" t="e">
        <f aca="false">G42-D59</f>
        <v>#VALUE!</v>
      </c>
    </row>
    <row r="61" customFormat="false" ht="12.75" hidden="false" customHeight="false" outlineLevel="0" collapsed="false">
      <c r="B61" s="128"/>
      <c r="C61" s="129"/>
      <c r="D61" s="130"/>
    </row>
    <row r="62" customFormat="false" ht="12.75" hidden="false" customHeight="false" outlineLevel="0" collapsed="false">
      <c r="B62" s="161" t="s">
        <v>154</v>
      </c>
      <c r="C62" s="125"/>
      <c r="D62" s="162" t="e">
        <f aca="false">D16-C33-D33-D17*75-D51</f>
        <v>#VALUE!</v>
      </c>
    </row>
    <row r="63" customFormat="false" ht="12.75" hidden="false" customHeight="false" outlineLevel="0" collapsed="false">
      <c r="B63" s="163"/>
      <c r="C63" s="129"/>
      <c r="D63" s="130"/>
    </row>
    <row r="64" customFormat="false" ht="12.75" hidden="false" customHeight="false" outlineLevel="0" collapsed="false">
      <c r="B64" s="131" t="s">
        <v>184</v>
      </c>
      <c r="C64" s="131"/>
      <c r="D64" s="131"/>
    </row>
    <row r="65" customFormat="false" ht="12.75" hidden="false" customHeight="false" outlineLevel="0" collapsed="false">
      <c r="B65" s="131"/>
      <c r="C65" s="164" t="s">
        <v>93</v>
      </c>
      <c r="D65" s="165" t="s">
        <v>94</v>
      </c>
    </row>
    <row r="66" customFormat="false" ht="12.75" hidden="false" customHeight="false" outlineLevel="0" collapsed="false">
      <c r="B66" s="136" t="s">
        <v>185</v>
      </c>
      <c r="C66" s="166" t="n">
        <f aca="false">D17</f>
        <v>0</v>
      </c>
      <c r="D66" s="166" t="n">
        <f aca="false">IF(D15&gt;3500,9,7)</f>
        <v>7</v>
      </c>
    </row>
    <row r="67" customFormat="false" ht="24.75" hidden="false" customHeight="true" outlineLevel="0" collapsed="false">
      <c r="B67" s="161" t="s">
        <v>186</v>
      </c>
      <c r="C67" s="161"/>
      <c r="D67" s="69"/>
    </row>
    <row r="68" customFormat="false" ht="12.75" hidden="false" customHeight="false" outlineLevel="0" collapsed="false">
      <c r="B68" s="136" t="s">
        <v>95</v>
      </c>
      <c r="C68" s="167" t="e">
        <f aca="false">D15-C33-D33-(D17-1)*68-75+D67</f>
        <v>#VALUE!</v>
      </c>
      <c r="D68" s="168" t="n">
        <f aca="false">IF(D17&lt;2,100,IF(D17&lt;4,150,68*(D17-1)))</f>
        <v>100</v>
      </c>
    </row>
    <row r="69" customFormat="false" ht="12.75" hidden="false" customHeight="false" outlineLevel="0" collapsed="false">
      <c r="B69" s="136" t="str">
        <f aca="false">IF(D18&lt;&gt;"Autre","Longueur minimale de la zone de cargaison :","")</f>
        <v>Longueur minimale de la zone de cargaison :</v>
      </c>
      <c r="C69" s="158" t="n">
        <f aca="false">IF(D18&lt;&gt;"Autre",D56,"")</f>
        <v>0</v>
      </c>
      <c r="D69" s="158" t="n">
        <f aca="false">IF(D18&lt;&gt;"Autre",IF(D18="BE (Pick-up)",0.4*G42,IF(D18="BB (Fourgon)",IF(SUM(D47:D48)=0,0.4*G42,0.3*G42),0)),"")</f>
        <v>0</v>
      </c>
    </row>
    <row r="71" customFormat="false" ht="12.75" hidden="false" customHeight="false" outlineLevel="0" collapsed="false">
      <c r="B71" s="131" t="s">
        <v>187</v>
      </c>
      <c r="C71" s="131"/>
      <c r="D71" s="131"/>
      <c r="E71" s="131"/>
    </row>
    <row r="72" customFormat="false" ht="12.75" hidden="false" customHeight="false" outlineLevel="0" collapsed="false">
      <c r="B72" s="128"/>
      <c r="C72" s="169" t="s">
        <v>52</v>
      </c>
      <c r="D72" s="169" t="s">
        <v>53</v>
      </c>
      <c r="E72" s="169" t="s">
        <v>45</v>
      </c>
    </row>
    <row r="73" customFormat="false" ht="12.75" hidden="false" customHeight="false" outlineLevel="0" collapsed="false">
      <c r="B73" s="124" t="s">
        <v>188</v>
      </c>
      <c r="C73" s="167" t="str">
        <f aca="false">C83</f>
        <v/>
      </c>
      <c r="D73" s="167" t="str">
        <f aca="false">D83</f>
        <v/>
      </c>
      <c r="E73" s="167" t="n">
        <f aca="false">E83</f>
        <v>0</v>
      </c>
    </row>
    <row r="74" customFormat="false" ht="12.75" hidden="false" customHeight="false" outlineLevel="0" collapsed="false">
      <c r="B74" s="124" t="s">
        <v>160</v>
      </c>
      <c r="C74" s="167" t="e">
        <f aca="false">C84</f>
        <v>#VALUE!</v>
      </c>
      <c r="D74" s="167" t="e">
        <f aca="false">D84</f>
        <v>#VALUE!</v>
      </c>
      <c r="E74" s="167" t="e">
        <f aca="false">E84</f>
        <v>#VALUE!</v>
      </c>
    </row>
    <row r="75" customFormat="false" ht="12.75" hidden="false" customHeight="false" outlineLevel="0" collapsed="false">
      <c r="B75" s="124" t="s">
        <v>161</v>
      </c>
      <c r="C75" s="162" t="n">
        <v>0</v>
      </c>
      <c r="D75" s="162" t="n">
        <v>0</v>
      </c>
      <c r="E75" s="162" t="n">
        <f aca="false">D75+C75</f>
        <v>0</v>
      </c>
    </row>
    <row r="76" customFormat="false" ht="12.75" hidden="false" customHeight="false" outlineLevel="0" collapsed="false">
      <c r="B76" s="124" t="s">
        <v>98</v>
      </c>
      <c r="C76" s="167" t="e">
        <f aca="false">(D62+D51)*(G42-D60)/G42</f>
        <v>#VALUE!</v>
      </c>
      <c r="D76" s="167" t="e">
        <f aca="false">(D62+D51)*D60/G42</f>
        <v>#VALUE!</v>
      </c>
      <c r="E76" s="167" t="e">
        <f aca="false">D76+C76</f>
        <v>#VALUE!</v>
      </c>
    </row>
    <row r="77" customFormat="false" ht="12.75" hidden="false" customHeight="false" outlineLevel="0" collapsed="false">
      <c r="B77" s="170" t="s">
        <v>99</v>
      </c>
      <c r="C77" s="171" t="e">
        <f aca="false">SUM(C73:C76)</f>
        <v>#VALUE!</v>
      </c>
      <c r="D77" s="171" t="e">
        <f aca="false">SUM(D73:D76)</f>
        <v>#VALUE!</v>
      </c>
      <c r="E77" s="171" t="e">
        <f aca="false">SUM(E73:E76)</f>
        <v>#VALUE!</v>
      </c>
    </row>
    <row r="78" customFormat="false" ht="12.75" hidden="false" customHeight="false" outlineLevel="0" collapsed="false">
      <c r="B78" s="170" t="s">
        <v>100</v>
      </c>
      <c r="C78" s="172" t="n">
        <f aca="false">E37</f>
        <v>0</v>
      </c>
      <c r="D78" s="171" t="n">
        <f aca="false">E39</f>
        <v>0</v>
      </c>
      <c r="E78" s="171" t="n">
        <f aca="false">D16</f>
        <v>0</v>
      </c>
    </row>
    <row r="79" customFormat="false" ht="12.75" hidden="false" customHeight="false" outlineLevel="0" collapsed="false">
      <c r="B79" s="173" t="s">
        <v>162</v>
      </c>
      <c r="C79" s="174" t="e">
        <f aca="false">C77/D15</f>
        <v>#VALUE!</v>
      </c>
      <c r="D79" s="175"/>
      <c r="E79" s="175"/>
    </row>
    <row r="81" customFormat="false" ht="12.75" hidden="false" customHeight="false" outlineLevel="0" collapsed="false">
      <c r="B81" s="131" t="s">
        <v>189</v>
      </c>
      <c r="C81" s="131"/>
      <c r="D81" s="131"/>
      <c r="E81" s="131"/>
    </row>
    <row r="82" customFormat="false" ht="12.75" hidden="false" customHeight="false" outlineLevel="0" collapsed="false">
      <c r="B82" s="128"/>
      <c r="C82" s="169" t="s">
        <v>52</v>
      </c>
      <c r="D82" s="169" t="s">
        <v>53</v>
      </c>
      <c r="E82" s="169" t="s">
        <v>45</v>
      </c>
    </row>
    <row r="83" customFormat="false" ht="12.75" hidden="false" customHeight="false" outlineLevel="0" collapsed="false">
      <c r="B83" s="124" t="s">
        <v>124</v>
      </c>
      <c r="C83" s="167" t="str">
        <f aca="false">C33</f>
        <v/>
      </c>
      <c r="D83" s="167" t="str">
        <f aca="false">D33</f>
        <v/>
      </c>
      <c r="E83" s="167" t="n">
        <f aca="false">E33</f>
        <v>0</v>
      </c>
    </row>
    <row r="84" customFormat="false" ht="12.75" hidden="false" customHeight="false" outlineLevel="0" collapsed="false">
      <c r="B84" s="124" t="s">
        <v>160</v>
      </c>
      <c r="C84" s="167" t="e">
        <f aca="false">(SUMPRODUCT(G42-C46:C48,D46:D48)*75)/G42</f>
        <v>#VALUE!</v>
      </c>
      <c r="D84" s="167" t="e">
        <f aca="false">75*SUMPRODUCT(C46:C48,D46:D48)/G42</f>
        <v>#VALUE!</v>
      </c>
      <c r="E84" s="167" t="e">
        <f aca="false">D84+C84</f>
        <v>#VALUE!</v>
      </c>
    </row>
    <row r="85" customFormat="false" ht="12.75" hidden="false" customHeight="false" outlineLevel="0" collapsed="false">
      <c r="B85" s="124" t="s">
        <v>161</v>
      </c>
      <c r="C85" s="162" t="e">
        <f aca="false">D51*(G42-D54)/G42</f>
        <v>#VALUE!</v>
      </c>
      <c r="D85" s="162" t="e">
        <f aca="false">D51*D54/G42</f>
        <v>#VALUE!</v>
      </c>
      <c r="E85" s="162" t="e">
        <f aca="false">D85+C85</f>
        <v>#VALUE!</v>
      </c>
    </row>
    <row r="86" customFormat="false" ht="12.75" hidden="false" customHeight="false" outlineLevel="0" collapsed="false">
      <c r="B86" s="124" t="s">
        <v>98</v>
      </c>
      <c r="C86" s="162" t="e">
        <f aca="false">D62*(G42-D60)/G42</f>
        <v>#VALUE!</v>
      </c>
      <c r="D86" s="167" t="e">
        <f aca="false">D62*D60/G42</f>
        <v>#VALUE!</v>
      </c>
      <c r="E86" s="167" t="e">
        <f aca="false">D86+C86</f>
        <v>#VALUE!</v>
      </c>
    </row>
    <row r="87" customFormat="false" ht="12.75" hidden="false" customHeight="false" outlineLevel="0" collapsed="false">
      <c r="B87" s="170" t="s">
        <v>99</v>
      </c>
      <c r="C87" s="171" t="e">
        <f aca="false">SUM(C83:C86)</f>
        <v>#VALUE!</v>
      </c>
      <c r="D87" s="171" t="e">
        <f aca="false">SUM(D83:D86)</f>
        <v>#VALUE!</v>
      </c>
      <c r="E87" s="171" t="e">
        <f aca="false">SUM(E83:E86)</f>
        <v>#VALUE!</v>
      </c>
    </row>
    <row r="88" customFormat="false" ht="12.75" hidden="false" customHeight="false" outlineLevel="0" collapsed="false">
      <c r="B88" s="170" t="s">
        <v>100</v>
      </c>
      <c r="C88" s="171" t="n">
        <f aca="false">E37</f>
        <v>0</v>
      </c>
      <c r="D88" s="171" t="n">
        <f aca="false">IF(D51&gt;0,1.15*E39,E39)</f>
        <v>0</v>
      </c>
      <c r="E88" s="171" t="n">
        <f aca="false">D16</f>
        <v>0</v>
      </c>
    </row>
    <row r="89" customFormat="false" ht="12.75" hidden="false" customHeight="false" outlineLevel="0" collapsed="false">
      <c r="B89" s="170" t="s">
        <v>162</v>
      </c>
      <c r="C89" s="176" t="e">
        <f aca="false">C87/D15</f>
        <v>#VALUE!</v>
      </c>
      <c r="D89" s="177"/>
      <c r="E89" s="175"/>
    </row>
    <row r="90" customFormat="false" ht="12.75" hidden="false" customHeight="false" outlineLevel="0" collapsed="false">
      <c r="F90" s="128"/>
    </row>
    <row r="91" customFormat="false" ht="12.75" hidden="false" customHeight="false" outlineLevel="0" collapsed="false">
      <c r="B91" s="131" t="s">
        <v>190</v>
      </c>
      <c r="C91" s="131"/>
      <c r="D91" s="131"/>
      <c r="E91" s="131"/>
    </row>
    <row r="92" customFormat="false" ht="12.75" hidden="false" customHeight="false" outlineLevel="0" collapsed="false">
      <c r="B92" s="128"/>
      <c r="C92" s="169" t="s">
        <v>52</v>
      </c>
      <c r="D92" s="169" t="s">
        <v>53</v>
      </c>
      <c r="E92" s="169" t="s">
        <v>45</v>
      </c>
    </row>
    <row r="93" customFormat="false" ht="12.75" hidden="false" customHeight="false" outlineLevel="0" collapsed="false">
      <c r="B93" s="124" t="s">
        <v>124</v>
      </c>
      <c r="C93" s="167" t="str">
        <f aca="false">C83</f>
        <v/>
      </c>
      <c r="D93" s="167" t="str">
        <f aca="false">D83</f>
        <v/>
      </c>
      <c r="E93" s="167" t="n">
        <f aca="false">E83</f>
        <v>0</v>
      </c>
    </row>
    <row r="94" customFormat="false" ht="12.75" hidden="false" customHeight="false" outlineLevel="0" collapsed="false">
      <c r="B94" s="124" t="s">
        <v>160</v>
      </c>
      <c r="C94" s="167" t="e">
        <f aca="false">C84</f>
        <v>#VALUE!</v>
      </c>
      <c r="D94" s="167" t="e">
        <f aca="false">D84</f>
        <v>#VALUE!</v>
      </c>
      <c r="E94" s="167" t="e">
        <f aca="false">E84</f>
        <v>#VALUE!</v>
      </c>
    </row>
    <row r="95" customFormat="false" ht="12.75" hidden="false" customHeight="false" outlineLevel="0" collapsed="false">
      <c r="B95" s="124" t="s">
        <v>161</v>
      </c>
      <c r="C95" s="162" t="e">
        <f aca="false">C85</f>
        <v>#VALUE!</v>
      </c>
      <c r="D95" s="162" t="e">
        <f aca="false">D85</f>
        <v>#VALUE!</v>
      </c>
      <c r="E95" s="162" t="e">
        <f aca="false">E85</f>
        <v>#VALUE!</v>
      </c>
    </row>
    <row r="96" customFormat="false" ht="12.75" hidden="false" customHeight="false" outlineLevel="0" collapsed="false">
      <c r="B96" s="124" t="s">
        <v>98</v>
      </c>
      <c r="C96" s="162" t="e">
        <f aca="false">(D62+D51)*(G42-D60)/G42</f>
        <v>#VALUE!</v>
      </c>
      <c r="D96" s="167" t="e">
        <f aca="false">(D62+D51)*D60/G42</f>
        <v>#VALUE!</v>
      </c>
      <c r="E96" s="167" t="e">
        <f aca="false">D96+C96</f>
        <v>#VALUE!</v>
      </c>
    </row>
    <row r="97" customFormat="false" ht="12.75" hidden="false" customHeight="false" outlineLevel="0" collapsed="false">
      <c r="B97" s="170" t="s">
        <v>99</v>
      </c>
      <c r="C97" s="171" t="e">
        <f aca="false">SUM(C93:C96)</f>
        <v>#VALUE!</v>
      </c>
      <c r="D97" s="171" t="e">
        <f aca="false">SUM(D93:D96)</f>
        <v>#VALUE!</v>
      </c>
      <c r="E97" s="171" t="e">
        <f aca="false">SUM(E93:E96)</f>
        <v>#VALUE!</v>
      </c>
    </row>
    <row r="98" customFormat="false" ht="12.75" hidden="false" customHeight="false" outlineLevel="0" collapsed="false">
      <c r="B98" s="170" t="s">
        <v>100</v>
      </c>
      <c r="C98" s="171" t="n">
        <f aca="false">E37</f>
        <v>0</v>
      </c>
      <c r="D98" s="171" t="n">
        <f aca="false">D88</f>
        <v>0</v>
      </c>
      <c r="E98" s="171" t="n">
        <f aca="false">D16+D51</f>
        <v>0</v>
      </c>
    </row>
    <row r="99" customFormat="false" ht="12.75" hidden="false" customHeight="false" outlineLevel="0" collapsed="false">
      <c r="B99" s="170" t="s">
        <v>162</v>
      </c>
      <c r="C99" s="176" t="e">
        <f aca="false">C97/D15</f>
        <v>#VALUE!</v>
      </c>
      <c r="D99" s="177"/>
      <c r="E99" s="175"/>
    </row>
    <row r="101" customFormat="false" ht="12.75" hidden="false" customHeight="false" outlineLevel="0" collapsed="false">
      <c r="B101" s="177"/>
    </row>
    <row r="102" customFormat="false" ht="12" hidden="false" customHeight="true" outlineLevel="0" collapsed="false">
      <c r="B102" s="178"/>
      <c r="C102" s="178"/>
      <c r="D102" s="178"/>
      <c r="E102" s="178"/>
      <c r="F102" s="178"/>
      <c r="G102" s="178"/>
    </row>
    <row r="103" customFormat="false" ht="12.75" hidden="false" customHeight="false" outlineLevel="0" collapsed="false">
      <c r="B103" s="110" t="s">
        <v>166</v>
      </c>
      <c r="C103" s="110"/>
      <c r="D103" s="110"/>
      <c r="E103" s="110"/>
    </row>
    <row r="104" customFormat="false" ht="12.75" hidden="false" customHeight="false" outlineLevel="0" collapsed="false">
      <c r="B104" s="112" t="s">
        <v>167</v>
      </c>
      <c r="C104" s="112"/>
      <c r="D104" s="112"/>
      <c r="E104" s="179" t="e">
        <f aca="false">IF(AND(MAX(D87,D97)&gt;E39,(MAX(D87,D97)&lt;(1.15*E39))),"Conforme sous condition ci-après","Non concerné")</f>
        <v>#VALUE!</v>
      </c>
    </row>
    <row r="105" customFormat="false" ht="24.75" hidden="false" customHeight="true" outlineLevel="0" collapsed="false">
      <c r="B105" s="114" t="s">
        <v>168</v>
      </c>
      <c r="C105" s="114"/>
      <c r="D105" s="114"/>
      <c r="E105" s="179"/>
    </row>
    <row r="106" customFormat="false" ht="12.75" hidden="false" customHeight="false" outlineLevel="0" collapsed="false">
      <c r="B106" s="114" t="s">
        <v>169</v>
      </c>
      <c r="C106" s="114"/>
      <c r="D106" s="114"/>
      <c r="E106" s="180" t="e">
        <f aca="false">IF(VLOOKUP(1,B124:F324,4,0)&gt;=B122/2,VLOOKUP(1,B124:F324,2,0),VLOOKUP(1,B124:F324,2,0))+1</f>
        <v>#N/A</v>
      </c>
    </row>
    <row r="107" customFormat="false" ht="12.75" hidden="false" customHeight="false" outlineLevel="0" collapsed="false">
      <c r="B107" s="181"/>
    </row>
    <row r="108" customFormat="false" ht="12.75" hidden="false" customHeight="false" outlineLevel="0" collapsed="false">
      <c r="B108" s="181"/>
      <c r="D108" s="181"/>
    </row>
    <row r="109" customFormat="false" ht="12.75" hidden="false" customHeight="false" outlineLevel="0" collapsed="false">
      <c r="B109" s="182"/>
    </row>
    <row r="110" customFormat="false" ht="12.75" hidden="true" customHeight="false" outlineLevel="0" collapsed="false">
      <c r="B110" s="182"/>
      <c r="D110" s="181"/>
    </row>
    <row r="111" customFormat="false" ht="12.75" hidden="true" customHeight="false" outlineLevel="0" collapsed="false">
      <c r="B111" s="183"/>
      <c r="D111" s="181"/>
    </row>
    <row r="112" customFormat="false" ht="12.75" hidden="true" customHeight="false" outlineLevel="0" collapsed="false"/>
    <row r="113" customFormat="false" ht="12.75" hidden="true" customHeight="false" outlineLevel="0" collapsed="false">
      <c r="B113" s="119" t="s">
        <v>170</v>
      </c>
      <c r="C113" s="119" t="e">
        <f aca="false">D40/(D39+D40)*G40</f>
        <v>#DIV/0!</v>
      </c>
    </row>
    <row r="114" customFormat="false" ht="12.75" hidden="true" customHeight="false" outlineLevel="0" collapsed="false">
      <c r="B114" s="119" t="s">
        <v>171</v>
      </c>
      <c r="C114" s="119" t="e">
        <f aca="false">D41/SUM(D39:D41)*(G41+G40-C113)+C113</f>
        <v>#DIV/0!</v>
      </c>
    </row>
    <row r="115" customFormat="false" ht="12.75" hidden="true" customHeight="false" outlineLevel="0" collapsed="false">
      <c r="B115" s="119" t="s">
        <v>172</v>
      </c>
      <c r="C115" s="119" t="e">
        <f aca="false">D38/(D37+D38)*G38</f>
        <v>#DIV/0!</v>
      </c>
    </row>
    <row r="116" customFormat="false" ht="12.75" hidden="true" customHeight="false" outlineLevel="0" collapsed="false">
      <c r="B116" s="119" t="s">
        <v>103</v>
      </c>
      <c r="C116" s="119" t="e">
        <f aca="false">G38-C115+C114+G39</f>
        <v>#DIV/0!</v>
      </c>
    </row>
    <row r="117" customFormat="false" ht="12.75" hidden="true" customHeight="false" outlineLevel="0" collapsed="false"/>
    <row r="118" customFormat="false" ht="12.75" hidden="true" customHeight="false" outlineLevel="0" collapsed="false"/>
    <row r="119" customFormat="false" ht="12.75" hidden="true" customHeight="false" outlineLevel="0" collapsed="false"/>
    <row r="120" customFormat="false" ht="12.75" hidden="true" customHeight="false" outlineLevel="0" collapsed="false"/>
    <row r="121" customFormat="false" ht="12.75" hidden="true" customHeight="false" outlineLevel="0" collapsed="false"/>
    <row r="122" customFormat="false" ht="12.75" hidden="true" customHeight="false" outlineLevel="0" collapsed="false">
      <c r="B122" s="184" t="e">
        <f aca="false">MAX(D87,D97)</f>
        <v>#VALUE!</v>
      </c>
      <c r="F122" s="185" t="s">
        <v>173</v>
      </c>
    </row>
    <row r="123" customFormat="false" ht="12.75" hidden="true" customHeight="false" outlineLevel="0" collapsed="false">
      <c r="B123" s="119" t="s">
        <v>174</v>
      </c>
      <c r="C123" s="119" t="s">
        <v>175</v>
      </c>
      <c r="D123" s="119" t="s">
        <v>176</v>
      </c>
      <c r="E123" s="119" t="s">
        <v>177</v>
      </c>
      <c r="F123" s="118" t="e">
        <f aca="false">IF(VLOOKUP(1,B124:F324,4,0)&gt;=B122/2,VLOOKUP(1,B124:F324,2,0),VLOOKUP(1,B124:F324,2,0))</f>
        <v>#N/A</v>
      </c>
    </row>
    <row r="124" customFormat="false" ht="12.75" hidden="true" customHeight="false" outlineLevel="0" collapsed="false">
      <c r="B124" s="119" t="e">
        <f aca="false">IF(F124=MIN(F$124:F$324),1,0)</f>
        <v>#VALUE!</v>
      </c>
      <c r="C124" s="119" t="n">
        <v>0</v>
      </c>
      <c r="D124" s="119" t="n">
        <v>45</v>
      </c>
      <c r="E124" s="119" t="n">
        <f aca="false">2*D124</f>
        <v>90</v>
      </c>
      <c r="F124" s="119" t="e">
        <f aca="false">ABS(B$122-E124)</f>
        <v>#VALUE!</v>
      </c>
    </row>
    <row r="125" customFormat="false" ht="12.75" hidden="true" customHeight="false" outlineLevel="0" collapsed="false">
      <c r="B125" s="119" t="e">
        <f aca="false">IF(F125=MIN(F$124:F$324),1,0)</f>
        <v>#VALUE!</v>
      </c>
      <c r="C125" s="119" t="n">
        <v>1</v>
      </c>
      <c r="D125" s="119" t="n">
        <v>46.2</v>
      </c>
      <c r="E125" s="119" t="n">
        <f aca="false">2*D125</f>
        <v>92.4</v>
      </c>
      <c r="F125" s="119" t="e">
        <f aca="false">ABS(B$122-E125)</f>
        <v>#VALUE!</v>
      </c>
    </row>
    <row r="126" customFormat="false" ht="12.75" hidden="true" customHeight="false" outlineLevel="0" collapsed="false">
      <c r="B126" s="119" t="e">
        <f aca="false">IF(F126=MIN(F$124:F$324),1,0)</f>
        <v>#VALUE!</v>
      </c>
      <c r="C126" s="119" t="n">
        <v>2</v>
      </c>
      <c r="D126" s="119" t="n">
        <v>47.5</v>
      </c>
      <c r="E126" s="119" t="n">
        <f aca="false">2*D126</f>
        <v>95</v>
      </c>
      <c r="F126" s="119" t="e">
        <f aca="false">ABS(B$122-E126)</f>
        <v>#VALUE!</v>
      </c>
    </row>
    <row r="127" customFormat="false" ht="12.75" hidden="true" customHeight="false" outlineLevel="0" collapsed="false">
      <c r="B127" s="119" t="e">
        <f aca="false">IF(F127=MIN(F$124:F$324),1,0)</f>
        <v>#VALUE!</v>
      </c>
      <c r="C127" s="119" t="n">
        <v>3</v>
      </c>
      <c r="D127" s="119" t="n">
        <v>48.7</v>
      </c>
      <c r="E127" s="119" t="n">
        <f aca="false">2*D127</f>
        <v>97.4</v>
      </c>
      <c r="F127" s="119" t="e">
        <f aca="false">ABS(B$122-E127)</f>
        <v>#VALUE!</v>
      </c>
    </row>
    <row r="128" customFormat="false" ht="12.75" hidden="true" customHeight="false" outlineLevel="0" collapsed="false">
      <c r="B128" s="119" t="e">
        <f aca="false">IF(F128=MIN(F$124:F$324),1,0)</f>
        <v>#VALUE!</v>
      </c>
      <c r="C128" s="119" t="n">
        <v>4</v>
      </c>
      <c r="D128" s="119" t="n">
        <v>50</v>
      </c>
      <c r="E128" s="119" t="n">
        <f aca="false">2*D128</f>
        <v>100</v>
      </c>
      <c r="F128" s="119" t="e">
        <f aca="false">ABS(B$122-E128)</f>
        <v>#VALUE!</v>
      </c>
    </row>
    <row r="129" customFormat="false" ht="12.75" hidden="true" customHeight="false" outlineLevel="0" collapsed="false">
      <c r="B129" s="119" t="e">
        <f aca="false">IF(F129=MIN(F$124:F$324),1,0)</f>
        <v>#VALUE!</v>
      </c>
      <c r="C129" s="119" t="n">
        <v>5</v>
      </c>
      <c r="D129" s="119" t="n">
        <v>51.5</v>
      </c>
      <c r="E129" s="119" t="n">
        <f aca="false">2*D129</f>
        <v>103</v>
      </c>
      <c r="F129" s="119" t="e">
        <f aca="false">ABS(B$122-E129)</f>
        <v>#VALUE!</v>
      </c>
    </row>
    <row r="130" customFormat="false" ht="12.75" hidden="true" customHeight="false" outlineLevel="0" collapsed="false">
      <c r="B130" s="119" t="e">
        <f aca="false">IF(F130=MIN(F$124:F$324),1,0)</f>
        <v>#VALUE!</v>
      </c>
      <c r="C130" s="119" t="n">
        <v>6</v>
      </c>
      <c r="D130" s="119" t="n">
        <v>53</v>
      </c>
      <c r="E130" s="119" t="n">
        <f aca="false">2*D130</f>
        <v>106</v>
      </c>
      <c r="F130" s="119" t="e">
        <f aca="false">ABS(B$122-E130)</f>
        <v>#VALUE!</v>
      </c>
    </row>
    <row r="131" customFormat="false" ht="12.75" hidden="true" customHeight="false" outlineLevel="0" collapsed="false">
      <c r="B131" s="119" t="e">
        <f aca="false">IF(F131=MIN(F$124:F$324),1,0)</f>
        <v>#VALUE!</v>
      </c>
      <c r="C131" s="119" t="n">
        <v>7</v>
      </c>
      <c r="D131" s="119" t="n">
        <v>54.5</v>
      </c>
      <c r="E131" s="119" t="n">
        <f aca="false">2*D131</f>
        <v>109</v>
      </c>
      <c r="F131" s="119" t="e">
        <f aca="false">ABS(B$122-E131)</f>
        <v>#VALUE!</v>
      </c>
    </row>
    <row r="132" customFormat="false" ht="12.75" hidden="true" customHeight="false" outlineLevel="0" collapsed="false">
      <c r="B132" s="119" t="e">
        <f aca="false">IF(F132=MIN(F$124:F$324),1,0)</f>
        <v>#VALUE!</v>
      </c>
      <c r="C132" s="119" t="n">
        <v>8</v>
      </c>
      <c r="D132" s="119" t="n">
        <v>56</v>
      </c>
      <c r="E132" s="119" t="n">
        <f aca="false">2*D132</f>
        <v>112</v>
      </c>
      <c r="F132" s="119" t="e">
        <f aca="false">ABS(B$122-E132)</f>
        <v>#VALUE!</v>
      </c>
    </row>
    <row r="133" customFormat="false" ht="12.75" hidden="true" customHeight="false" outlineLevel="0" collapsed="false">
      <c r="B133" s="119" t="e">
        <f aca="false">IF(F133=MIN(F$124:F$324),1,0)</f>
        <v>#VALUE!</v>
      </c>
      <c r="C133" s="119" t="n">
        <v>9</v>
      </c>
      <c r="D133" s="119" t="n">
        <v>58</v>
      </c>
      <c r="E133" s="119" t="n">
        <f aca="false">2*D133</f>
        <v>116</v>
      </c>
      <c r="F133" s="119" t="e">
        <f aca="false">ABS(B$122-E133)</f>
        <v>#VALUE!</v>
      </c>
    </row>
    <row r="134" customFormat="false" ht="12.75" hidden="true" customHeight="false" outlineLevel="0" collapsed="false">
      <c r="B134" s="119" t="e">
        <f aca="false">IF(F134=MIN(F$124:F$324),1,0)</f>
        <v>#VALUE!</v>
      </c>
      <c r="C134" s="119" t="n">
        <v>10</v>
      </c>
      <c r="D134" s="119" t="n">
        <v>60</v>
      </c>
      <c r="E134" s="119" t="n">
        <f aca="false">2*D134</f>
        <v>120</v>
      </c>
      <c r="F134" s="119" t="e">
        <f aca="false">ABS(B$122-E134)</f>
        <v>#VALUE!</v>
      </c>
    </row>
    <row r="135" customFormat="false" ht="12.75" hidden="true" customHeight="false" outlineLevel="0" collapsed="false">
      <c r="B135" s="119" t="e">
        <f aca="false">IF(F135=MIN(F$124:F$324),1,0)</f>
        <v>#VALUE!</v>
      </c>
      <c r="C135" s="119" t="n">
        <v>11</v>
      </c>
      <c r="D135" s="119" t="n">
        <v>61.5</v>
      </c>
      <c r="E135" s="119" t="n">
        <f aca="false">2*D135</f>
        <v>123</v>
      </c>
      <c r="F135" s="119" t="e">
        <f aca="false">ABS(B$122-E135)</f>
        <v>#VALUE!</v>
      </c>
    </row>
    <row r="136" customFormat="false" ht="12.75" hidden="true" customHeight="false" outlineLevel="0" collapsed="false">
      <c r="B136" s="119" t="e">
        <f aca="false">IF(F136=MIN(F$124:F$324),1,0)</f>
        <v>#VALUE!</v>
      </c>
      <c r="C136" s="119" t="n">
        <v>12</v>
      </c>
      <c r="D136" s="119" t="n">
        <v>63</v>
      </c>
      <c r="E136" s="119" t="n">
        <f aca="false">2*D136</f>
        <v>126</v>
      </c>
      <c r="F136" s="119" t="e">
        <f aca="false">ABS(B$122-E136)</f>
        <v>#VALUE!</v>
      </c>
    </row>
    <row r="137" customFormat="false" ht="12.75" hidden="true" customHeight="false" outlineLevel="0" collapsed="false">
      <c r="B137" s="119" t="e">
        <f aca="false">IF(F137=MIN(F$124:F$324),1,0)</f>
        <v>#VALUE!</v>
      </c>
      <c r="C137" s="119" t="n">
        <v>13</v>
      </c>
      <c r="D137" s="119" t="n">
        <v>65</v>
      </c>
      <c r="E137" s="119" t="n">
        <f aca="false">2*D137</f>
        <v>130</v>
      </c>
      <c r="F137" s="119" t="e">
        <f aca="false">ABS(B$122-E137)</f>
        <v>#VALUE!</v>
      </c>
    </row>
    <row r="138" customFormat="false" ht="12.75" hidden="true" customHeight="false" outlineLevel="0" collapsed="false">
      <c r="B138" s="119" t="e">
        <f aca="false">IF(F138=MIN(F$124:F$324),1,0)</f>
        <v>#VALUE!</v>
      </c>
      <c r="C138" s="119" t="n">
        <v>14</v>
      </c>
      <c r="D138" s="119" t="n">
        <v>67</v>
      </c>
      <c r="E138" s="119" t="n">
        <f aca="false">2*D138</f>
        <v>134</v>
      </c>
      <c r="F138" s="119" t="e">
        <f aca="false">ABS(B$122-E138)</f>
        <v>#VALUE!</v>
      </c>
    </row>
    <row r="139" customFormat="false" ht="12.75" hidden="true" customHeight="false" outlineLevel="0" collapsed="false">
      <c r="B139" s="119" t="e">
        <f aca="false">IF(F139=MIN(F$124:F$324),1,0)</f>
        <v>#VALUE!</v>
      </c>
      <c r="C139" s="119" t="n">
        <v>15</v>
      </c>
      <c r="D139" s="119" t="n">
        <v>69</v>
      </c>
      <c r="E139" s="119" t="n">
        <f aca="false">2*D139</f>
        <v>138</v>
      </c>
      <c r="F139" s="119" t="e">
        <f aca="false">ABS(B$122-E139)</f>
        <v>#VALUE!</v>
      </c>
    </row>
    <row r="140" customFormat="false" ht="12.75" hidden="true" customHeight="false" outlineLevel="0" collapsed="false">
      <c r="B140" s="119" t="e">
        <f aca="false">IF(F140=MIN(F$124:F$324),1,0)</f>
        <v>#VALUE!</v>
      </c>
      <c r="C140" s="119" t="n">
        <v>16</v>
      </c>
      <c r="D140" s="119" t="n">
        <v>71</v>
      </c>
      <c r="E140" s="119" t="n">
        <f aca="false">2*D140</f>
        <v>142</v>
      </c>
      <c r="F140" s="119" t="e">
        <f aca="false">ABS(B$122-E140)</f>
        <v>#VALUE!</v>
      </c>
    </row>
    <row r="141" customFormat="false" ht="12.75" hidden="true" customHeight="false" outlineLevel="0" collapsed="false">
      <c r="B141" s="119" t="e">
        <f aca="false">IF(F141=MIN(F$124:F$324),1,0)</f>
        <v>#VALUE!</v>
      </c>
      <c r="C141" s="119" t="n">
        <v>17</v>
      </c>
      <c r="D141" s="119" t="n">
        <v>73</v>
      </c>
      <c r="E141" s="119" t="n">
        <f aca="false">2*D141</f>
        <v>146</v>
      </c>
      <c r="F141" s="119" t="e">
        <f aca="false">ABS(B$122-E141)</f>
        <v>#VALUE!</v>
      </c>
    </row>
    <row r="142" customFormat="false" ht="12.75" hidden="true" customHeight="false" outlineLevel="0" collapsed="false">
      <c r="B142" s="119" t="e">
        <f aca="false">IF(F142=MIN(F$124:F$324),1,0)</f>
        <v>#VALUE!</v>
      </c>
      <c r="C142" s="119" t="n">
        <v>18</v>
      </c>
      <c r="D142" s="119" t="n">
        <v>75</v>
      </c>
      <c r="E142" s="119" t="n">
        <f aca="false">2*D142</f>
        <v>150</v>
      </c>
      <c r="F142" s="119" t="e">
        <f aca="false">ABS(B$122-E142)</f>
        <v>#VALUE!</v>
      </c>
    </row>
    <row r="143" customFormat="false" ht="12.75" hidden="true" customHeight="false" outlineLevel="0" collapsed="false">
      <c r="B143" s="119" t="e">
        <f aca="false">IF(F143=MIN(F$124:F$324),1,0)</f>
        <v>#VALUE!</v>
      </c>
      <c r="C143" s="119" t="n">
        <v>19</v>
      </c>
      <c r="D143" s="119" t="n">
        <v>77.5</v>
      </c>
      <c r="E143" s="119" t="n">
        <f aca="false">2*D143</f>
        <v>155</v>
      </c>
      <c r="F143" s="119" t="e">
        <f aca="false">ABS(B$122-E143)</f>
        <v>#VALUE!</v>
      </c>
    </row>
    <row r="144" customFormat="false" ht="12.75" hidden="true" customHeight="false" outlineLevel="0" collapsed="false">
      <c r="B144" s="119" t="e">
        <f aca="false">IF(F144=MIN(F$124:F$324),1,0)</f>
        <v>#VALUE!</v>
      </c>
      <c r="C144" s="119" t="n">
        <v>20</v>
      </c>
      <c r="D144" s="119" t="n">
        <v>80</v>
      </c>
      <c r="E144" s="119" t="n">
        <f aca="false">2*D144</f>
        <v>160</v>
      </c>
      <c r="F144" s="119" t="e">
        <f aca="false">ABS(B$122-E144)</f>
        <v>#VALUE!</v>
      </c>
    </row>
    <row r="145" customFormat="false" ht="12.75" hidden="true" customHeight="false" outlineLevel="0" collapsed="false">
      <c r="B145" s="119" t="e">
        <f aca="false">IF(F145=MIN(F$124:F$324),1,0)</f>
        <v>#VALUE!</v>
      </c>
      <c r="C145" s="119" t="n">
        <v>21</v>
      </c>
      <c r="D145" s="119" t="n">
        <v>82.5</v>
      </c>
      <c r="E145" s="119" t="n">
        <f aca="false">2*D145</f>
        <v>165</v>
      </c>
      <c r="F145" s="119" t="e">
        <f aca="false">ABS(B$122-E145)</f>
        <v>#VALUE!</v>
      </c>
    </row>
    <row r="146" customFormat="false" ht="12.75" hidden="true" customHeight="false" outlineLevel="0" collapsed="false">
      <c r="B146" s="119" t="e">
        <f aca="false">IF(F146=MIN(F$124:F$324),1,0)</f>
        <v>#VALUE!</v>
      </c>
      <c r="C146" s="119" t="n">
        <v>22</v>
      </c>
      <c r="D146" s="119" t="n">
        <v>85</v>
      </c>
      <c r="E146" s="119" t="n">
        <f aca="false">2*D146</f>
        <v>170</v>
      </c>
      <c r="F146" s="119" t="e">
        <f aca="false">ABS(B$122-E146)</f>
        <v>#VALUE!</v>
      </c>
    </row>
    <row r="147" customFormat="false" ht="12.75" hidden="true" customHeight="false" outlineLevel="0" collapsed="false">
      <c r="B147" s="119" t="e">
        <f aca="false">IF(F147=MIN(F$124:F$324),1,0)</f>
        <v>#VALUE!</v>
      </c>
      <c r="C147" s="119" t="n">
        <v>23</v>
      </c>
      <c r="D147" s="119" t="n">
        <v>87.5</v>
      </c>
      <c r="E147" s="119" t="n">
        <f aca="false">2*D147</f>
        <v>175</v>
      </c>
      <c r="F147" s="119" t="e">
        <f aca="false">ABS(B$122-E147)</f>
        <v>#VALUE!</v>
      </c>
    </row>
    <row r="148" customFormat="false" ht="12.75" hidden="true" customHeight="false" outlineLevel="0" collapsed="false">
      <c r="B148" s="119" t="e">
        <f aca="false">IF(F148=MIN(F$124:F$324),1,0)</f>
        <v>#VALUE!</v>
      </c>
      <c r="C148" s="119" t="n">
        <v>24</v>
      </c>
      <c r="D148" s="119" t="n">
        <v>90</v>
      </c>
      <c r="E148" s="119" t="n">
        <f aca="false">2*D148</f>
        <v>180</v>
      </c>
      <c r="F148" s="119" t="e">
        <f aca="false">ABS(B$122-E148)</f>
        <v>#VALUE!</v>
      </c>
    </row>
    <row r="149" customFormat="false" ht="12.75" hidden="true" customHeight="false" outlineLevel="0" collapsed="false">
      <c r="B149" s="119" t="e">
        <f aca="false">IF(F149=MIN(F$124:F$324),1,0)</f>
        <v>#VALUE!</v>
      </c>
      <c r="C149" s="119" t="n">
        <v>25</v>
      </c>
      <c r="D149" s="119" t="n">
        <v>92.5</v>
      </c>
      <c r="E149" s="119" t="n">
        <f aca="false">2*D149</f>
        <v>185</v>
      </c>
      <c r="F149" s="119" t="e">
        <f aca="false">ABS(B$122-E149)</f>
        <v>#VALUE!</v>
      </c>
    </row>
    <row r="150" customFormat="false" ht="12.75" hidden="true" customHeight="false" outlineLevel="0" collapsed="false">
      <c r="B150" s="119" t="e">
        <f aca="false">IF(F150=MIN(F$124:F$324),1,0)</f>
        <v>#VALUE!</v>
      </c>
      <c r="C150" s="119" t="n">
        <v>26</v>
      </c>
      <c r="D150" s="119" t="n">
        <v>95</v>
      </c>
      <c r="E150" s="119" t="n">
        <f aca="false">2*D150</f>
        <v>190</v>
      </c>
      <c r="F150" s="119" t="e">
        <f aca="false">ABS(B$122-E150)</f>
        <v>#VALUE!</v>
      </c>
    </row>
    <row r="151" customFormat="false" ht="12.75" hidden="true" customHeight="false" outlineLevel="0" collapsed="false">
      <c r="B151" s="119" t="e">
        <f aca="false">IF(F151=MIN(F$124:F$324),1,0)</f>
        <v>#VALUE!</v>
      </c>
      <c r="C151" s="119" t="n">
        <v>27</v>
      </c>
      <c r="D151" s="119" t="n">
        <v>97.5</v>
      </c>
      <c r="E151" s="119" t="n">
        <f aca="false">2*D151</f>
        <v>195</v>
      </c>
      <c r="F151" s="119" t="e">
        <f aca="false">ABS(B$122-E151)</f>
        <v>#VALUE!</v>
      </c>
    </row>
    <row r="152" customFormat="false" ht="12.75" hidden="true" customHeight="false" outlineLevel="0" collapsed="false">
      <c r="B152" s="119" t="e">
        <f aca="false">IF(F152=MIN(F$124:F$324),1,0)</f>
        <v>#VALUE!</v>
      </c>
      <c r="C152" s="119" t="n">
        <v>28</v>
      </c>
      <c r="D152" s="119" t="n">
        <v>100</v>
      </c>
      <c r="E152" s="119" t="n">
        <f aca="false">2*D152</f>
        <v>200</v>
      </c>
      <c r="F152" s="119" t="e">
        <f aca="false">ABS(B$122-E152)</f>
        <v>#VALUE!</v>
      </c>
    </row>
    <row r="153" customFormat="false" ht="12.75" hidden="true" customHeight="false" outlineLevel="0" collapsed="false">
      <c r="B153" s="119" t="e">
        <f aca="false">IF(F153=MIN(F$124:F$324),1,0)</f>
        <v>#VALUE!</v>
      </c>
      <c r="C153" s="119" t="n">
        <v>29</v>
      </c>
      <c r="D153" s="119" t="n">
        <v>103</v>
      </c>
      <c r="E153" s="119" t="n">
        <f aca="false">2*D153</f>
        <v>206</v>
      </c>
      <c r="F153" s="119" t="e">
        <f aca="false">ABS(B$122-E153)</f>
        <v>#VALUE!</v>
      </c>
    </row>
    <row r="154" customFormat="false" ht="12.75" hidden="true" customHeight="false" outlineLevel="0" collapsed="false">
      <c r="B154" s="119" t="e">
        <f aca="false">IF(F154=MIN(F$124:F$324),1,0)</f>
        <v>#VALUE!</v>
      </c>
      <c r="C154" s="119" t="n">
        <v>30</v>
      </c>
      <c r="D154" s="119" t="n">
        <v>106</v>
      </c>
      <c r="E154" s="119" t="n">
        <f aca="false">2*D154</f>
        <v>212</v>
      </c>
      <c r="F154" s="119" t="e">
        <f aca="false">ABS(B$122-E154)</f>
        <v>#VALUE!</v>
      </c>
    </row>
    <row r="155" customFormat="false" ht="12.75" hidden="true" customHeight="false" outlineLevel="0" collapsed="false">
      <c r="B155" s="119" t="e">
        <f aca="false">IF(F155=MIN(F$124:F$324),1,0)</f>
        <v>#VALUE!</v>
      </c>
      <c r="C155" s="119" t="n">
        <v>31</v>
      </c>
      <c r="D155" s="119" t="n">
        <v>109</v>
      </c>
      <c r="E155" s="119" t="n">
        <f aca="false">2*D155</f>
        <v>218</v>
      </c>
      <c r="F155" s="119" t="e">
        <f aca="false">ABS(B$122-E155)</f>
        <v>#VALUE!</v>
      </c>
    </row>
    <row r="156" customFormat="false" ht="12.75" hidden="true" customHeight="false" outlineLevel="0" collapsed="false">
      <c r="B156" s="119" t="e">
        <f aca="false">IF(F156=MIN(F$124:F$324),1,0)</f>
        <v>#VALUE!</v>
      </c>
      <c r="C156" s="119" t="n">
        <v>32</v>
      </c>
      <c r="D156" s="119" t="n">
        <v>112</v>
      </c>
      <c r="E156" s="119" t="n">
        <f aca="false">2*D156</f>
        <v>224</v>
      </c>
      <c r="F156" s="119" t="e">
        <f aca="false">ABS(B$122-E156)</f>
        <v>#VALUE!</v>
      </c>
    </row>
    <row r="157" customFormat="false" ht="12.75" hidden="true" customHeight="false" outlineLevel="0" collapsed="false">
      <c r="B157" s="119" t="e">
        <f aca="false">IF(F157=MIN(F$124:F$324),1,0)</f>
        <v>#VALUE!</v>
      </c>
      <c r="C157" s="119" t="n">
        <v>33</v>
      </c>
      <c r="D157" s="119" t="n">
        <v>115</v>
      </c>
      <c r="E157" s="119" t="n">
        <f aca="false">2*D157</f>
        <v>230</v>
      </c>
      <c r="F157" s="119" t="e">
        <f aca="false">ABS(B$122-E157)</f>
        <v>#VALUE!</v>
      </c>
    </row>
    <row r="158" customFormat="false" ht="12.75" hidden="true" customHeight="false" outlineLevel="0" collapsed="false">
      <c r="B158" s="119" t="e">
        <f aca="false">IF(F158=MIN(F$124:F$324),1,0)</f>
        <v>#VALUE!</v>
      </c>
      <c r="C158" s="119" t="n">
        <v>34</v>
      </c>
      <c r="D158" s="119" t="n">
        <v>118</v>
      </c>
      <c r="E158" s="119" t="n">
        <f aca="false">2*D158</f>
        <v>236</v>
      </c>
      <c r="F158" s="119" t="e">
        <f aca="false">ABS(B$122-E158)</f>
        <v>#VALUE!</v>
      </c>
    </row>
    <row r="159" customFormat="false" ht="12.75" hidden="true" customHeight="false" outlineLevel="0" collapsed="false">
      <c r="B159" s="119" t="e">
        <f aca="false">IF(F159=MIN(F$124:F$324),1,0)</f>
        <v>#VALUE!</v>
      </c>
      <c r="C159" s="119" t="n">
        <v>35</v>
      </c>
      <c r="D159" s="119" t="n">
        <v>121</v>
      </c>
      <c r="E159" s="119" t="n">
        <f aca="false">2*D159</f>
        <v>242</v>
      </c>
      <c r="F159" s="119" t="e">
        <f aca="false">ABS(B$122-E159)</f>
        <v>#VALUE!</v>
      </c>
    </row>
    <row r="160" customFormat="false" ht="12.75" hidden="true" customHeight="false" outlineLevel="0" collapsed="false">
      <c r="B160" s="119" t="e">
        <f aca="false">IF(F160=MIN(F$124:F$324),1,0)</f>
        <v>#VALUE!</v>
      </c>
      <c r="C160" s="119" t="n">
        <v>36</v>
      </c>
      <c r="D160" s="119" t="n">
        <v>125</v>
      </c>
      <c r="E160" s="119" t="n">
        <f aca="false">2*D160</f>
        <v>250</v>
      </c>
      <c r="F160" s="119" t="e">
        <f aca="false">ABS(B$122-E160)</f>
        <v>#VALUE!</v>
      </c>
    </row>
    <row r="161" customFormat="false" ht="12.75" hidden="true" customHeight="false" outlineLevel="0" collapsed="false">
      <c r="B161" s="119" t="e">
        <f aca="false">IF(F161=MIN(F$124:F$324),1,0)</f>
        <v>#VALUE!</v>
      </c>
      <c r="C161" s="119" t="n">
        <v>37</v>
      </c>
      <c r="D161" s="119" t="n">
        <v>128</v>
      </c>
      <c r="E161" s="119" t="n">
        <f aca="false">2*D161</f>
        <v>256</v>
      </c>
      <c r="F161" s="119" t="e">
        <f aca="false">ABS(B$122-E161)</f>
        <v>#VALUE!</v>
      </c>
    </row>
    <row r="162" customFormat="false" ht="12.75" hidden="true" customHeight="false" outlineLevel="0" collapsed="false">
      <c r="B162" s="119" t="e">
        <f aca="false">IF(F162=MIN(F$124:F$324),1,0)</f>
        <v>#VALUE!</v>
      </c>
      <c r="C162" s="119" t="n">
        <v>38</v>
      </c>
      <c r="D162" s="119" t="n">
        <v>132</v>
      </c>
      <c r="E162" s="119" t="n">
        <f aca="false">2*D162</f>
        <v>264</v>
      </c>
      <c r="F162" s="119" t="e">
        <f aca="false">ABS(B$122-E162)</f>
        <v>#VALUE!</v>
      </c>
    </row>
    <row r="163" customFormat="false" ht="12.75" hidden="true" customHeight="false" outlineLevel="0" collapsed="false">
      <c r="B163" s="119" t="e">
        <f aca="false">IF(F163=MIN(F$124:F$324),1,0)</f>
        <v>#VALUE!</v>
      </c>
      <c r="C163" s="119" t="n">
        <v>39</v>
      </c>
      <c r="D163" s="119" t="n">
        <v>136</v>
      </c>
      <c r="E163" s="119" t="n">
        <f aca="false">2*D163</f>
        <v>272</v>
      </c>
      <c r="F163" s="119" t="e">
        <f aca="false">ABS(B$122-E163)</f>
        <v>#VALUE!</v>
      </c>
    </row>
    <row r="164" customFormat="false" ht="12.75" hidden="true" customHeight="false" outlineLevel="0" collapsed="false">
      <c r="B164" s="119" t="e">
        <f aca="false">IF(F164=MIN(F$124:F$324),1,0)</f>
        <v>#VALUE!</v>
      </c>
      <c r="C164" s="119" t="n">
        <v>40</v>
      </c>
      <c r="D164" s="119" t="n">
        <v>140</v>
      </c>
      <c r="E164" s="119" t="n">
        <f aca="false">2*D164</f>
        <v>280</v>
      </c>
      <c r="F164" s="119" t="e">
        <f aca="false">ABS(B$122-E164)</f>
        <v>#VALUE!</v>
      </c>
    </row>
    <row r="165" customFormat="false" ht="12.75" hidden="true" customHeight="false" outlineLevel="0" collapsed="false">
      <c r="B165" s="119" t="e">
        <f aca="false">IF(F165=MIN(F$124:F$324),1,0)</f>
        <v>#VALUE!</v>
      </c>
      <c r="C165" s="119" t="n">
        <v>41</v>
      </c>
      <c r="D165" s="119" t="n">
        <v>145</v>
      </c>
      <c r="E165" s="119" t="n">
        <f aca="false">2*D165</f>
        <v>290</v>
      </c>
      <c r="F165" s="119" t="e">
        <f aca="false">ABS(B$122-E165)</f>
        <v>#VALUE!</v>
      </c>
    </row>
    <row r="166" customFormat="false" ht="12.75" hidden="true" customHeight="false" outlineLevel="0" collapsed="false">
      <c r="B166" s="119" t="e">
        <f aca="false">IF(F166=MIN(F$124:F$324),1,0)</f>
        <v>#VALUE!</v>
      </c>
      <c r="C166" s="119" t="n">
        <v>42</v>
      </c>
      <c r="D166" s="119" t="n">
        <v>150</v>
      </c>
      <c r="E166" s="119" t="n">
        <f aca="false">2*D166</f>
        <v>300</v>
      </c>
      <c r="F166" s="119" t="e">
        <f aca="false">ABS(B$122-E166)</f>
        <v>#VALUE!</v>
      </c>
    </row>
    <row r="167" customFormat="false" ht="12.75" hidden="true" customHeight="false" outlineLevel="0" collapsed="false">
      <c r="B167" s="119" t="e">
        <f aca="false">IF(F167=MIN(F$124:F$324),1,0)</f>
        <v>#VALUE!</v>
      </c>
      <c r="C167" s="119" t="n">
        <v>43</v>
      </c>
      <c r="D167" s="119" t="n">
        <v>155</v>
      </c>
      <c r="E167" s="119" t="n">
        <f aca="false">2*D167</f>
        <v>310</v>
      </c>
      <c r="F167" s="119" t="e">
        <f aca="false">ABS(B$122-E167)</f>
        <v>#VALUE!</v>
      </c>
    </row>
    <row r="168" customFormat="false" ht="12.75" hidden="true" customHeight="false" outlineLevel="0" collapsed="false">
      <c r="B168" s="119" t="e">
        <f aca="false">IF(F168=MIN(F$124:F$324),1,0)</f>
        <v>#VALUE!</v>
      </c>
      <c r="C168" s="119" t="n">
        <v>44</v>
      </c>
      <c r="D168" s="119" t="n">
        <v>160</v>
      </c>
      <c r="E168" s="119" t="n">
        <f aca="false">2*D168</f>
        <v>320</v>
      </c>
      <c r="F168" s="119" t="e">
        <f aca="false">ABS(B$122-E168)</f>
        <v>#VALUE!</v>
      </c>
    </row>
    <row r="169" customFormat="false" ht="12.75" hidden="true" customHeight="false" outlineLevel="0" collapsed="false">
      <c r="B169" s="119" t="e">
        <f aca="false">IF(F169=MIN(F$124:F$324),1,0)</f>
        <v>#VALUE!</v>
      </c>
      <c r="C169" s="119" t="n">
        <v>45</v>
      </c>
      <c r="D169" s="119" t="n">
        <v>165</v>
      </c>
      <c r="E169" s="119" t="n">
        <f aca="false">2*D169</f>
        <v>330</v>
      </c>
      <c r="F169" s="119" t="e">
        <f aca="false">ABS(B$122-E169)</f>
        <v>#VALUE!</v>
      </c>
    </row>
    <row r="170" customFormat="false" ht="12.75" hidden="true" customHeight="false" outlineLevel="0" collapsed="false">
      <c r="B170" s="119" t="e">
        <f aca="false">IF(F170=MIN(F$124:F$324),1,0)</f>
        <v>#VALUE!</v>
      </c>
      <c r="C170" s="119" t="n">
        <v>46</v>
      </c>
      <c r="D170" s="119" t="n">
        <v>170</v>
      </c>
      <c r="E170" s="119" t="n">
        <f aca="false">2*D170</f>
        <v>340</v>
      </c>
      <c r="F170" s="119" t="e">
        <f aca="false">ABS(B$122-E170)</f>
        <v>#VALUE!</v>
      </c>
    </row>
    <row r="171" customFormat="false" ht="12.75" hidden="true" customHeight="false" outlineLevel="0" collapsed="false">
      <c r="B171" s="119" t="e">
        <f aca="false">IF(F171=MIN(F$124:F$324),1,0)</f>
        <v>#VALUE!</v>
      </c>
      <c r="C171" s="119" t="n">
        <v>47</v>
      </c>
      <c r="D171" s="119" t="n">
        <v>175</v>
      </c>
      <c r="E171" s="119" t="n">
        <f aca="false">2*D171</f>
        <v>350</v>
      </c>
      <c r="F171" s="119" t="e">
        <f aca="false">ABS(B$122-E171)</f>
        <v>#VALUE!</v>
      </c>
    </row>
    <row r="172" customFormat="false" ht="12.75" hidden="true" customHeight="false" outlineLevel="0" collapsed="false">
      <c r="B172" s="119" t="e">
        <f aca="false">IF(F172=MIN(F$124:F$324),1,0)</f>
        <v>#VALUE!</v>
      </c>
      <c r="C172" s="119" t="n">
        <v>48</v>
      </c>
      <c r="D172" s="119" t="n">
        <v>180</v>
      </c>
      <c r="E172" s="119" t="n">
        <f aca="false">2*D172</f>
        <v>360</v>
      </c>
      <c r="F172" s="119" t="e">
        <f aca="false">ABS(B$122-E172)</f>
        <v>#VALUE!</v>
      </c>
    </row>
    <row r="173" customFormat="false" ht="12.75" hidden="true" customHeight="false" outlineLevel="0" collapsed="false">
      <c r="B173" s="119" t="e">
        <f aca="false">IF(F173=MIN(F$124:F$324),1,0)</f>
        <v>#VALUE!</v>
      </c>
      <c r="C173" s="119" t="n">
        <v>49</v>
      </c>
      <c r="D173" s="119" t="n">
        <v>185</v>
      </c>
      <c r="E173" s="119" t="n">
        <f aca="false">2*D173</f>
        <v>370</v>
      </c>
      <c r="F173" s="119" t="e">
        <f aca="false">ABS(B$122-E173)</f>
        <v>#VALUE!</v>
      </c>
    </row>
    <row r="174" customFormat="false" ht="12.75" hidden="true" customHeight="false" outlineLevel="0" collapsed="false">
      <c r="B174" s="119" t="e">
        <f aca="false">IF(F174=MIN(F$124:F$324),1,0)</f>
        <v>#VALUE!</v>
      </c>
      <c r="C174" s="119" t="n">
        <v>50</v>
      </c>
      <c r="D174" s="119" t="n">
        <v>190</v>
      </c>
      <c r="E174" s="119" t="n">
        <f aca="false">2*D174</f>
        <v>380</v>
      </c>
      <c r="F174" s="119" t="e">
        <f aca="false">ABS(B$122-E174)</f>
        <v>#VALUE!</v>
      </c>
    </row>
    <row r="175" customFormat="false" ht="12.75" hidden="true" customHeight="false" outlineLevel="0" collapsed="false">
      <c r="B175" s="119" t="e">
        <f aca="false">IF(F175=MIN(F$124:F$324),1,0)</f>
        <v>#VALUE!</v>
      </c>
      <c r="C175" s="119" t="n">
        <v>51</v>
      </c>
      <c r="D175" s="119" t="n">
        <v>195</v>
      </c>
      <c r="E175" s="119" t="n">
        <f aca="false">2*D175</f>
        <v>390</v>
      </c>
      <c r="F175" s="119" t="e">
        <f aca="false">ABS(B$122-E175)</f>
        <v>#VALUE!</v>
      </c>
    </row>
    <row r="176" customFormat="false" ht="12.75" hidden="true" customHeight="false" outlineLevel="0" collapsed="false">
      <c r="B176" s="119" t="e">
        <f aca="false">IF(F176=MIN(F$124:F$324),1,0)</f>
        <v>#VALUE!</v>
      </c>
      <c r="C176" s="119" t="n">
        <v>52</v>
      </c>
      <c r="D176" s="119" t="n">
        <v>200</v>
      </c>
      <c r="E176" s="119" t="n">
        <f aca="false">2*D176</f>
        <v>400</v>
      </c>
      <c r="F176" s="119" t="e">
        <f aca="false">ABS(B$122-E176)</f>
        <v>#VALUE!</v>
      </c>
    </row>
    <row r="177" customFormat="false" ht="12.75" hidden="true" customHeight="false" outlineLevel="0" collapsed="false">
      <c r="B177" s="119" t="e">
        <f aca="false">IF(F177=MIN(F$124:F$324),1,0)</f>
        <v>#VALUE!</v>
      </c>
      <c r="C177" s="119" t="n">
        <v>53</v>
      </c>
      <c r="D177" s="119" t="n">
        <v>206</v>
      </c>
      <c r="E177" s="119" t="n">
        <f aca="false">2*D177</f>
        <v>412</v>
      </c>
      <c r="F177" s="119" t="e">
        <f aca="false">ABS(B$122-E177)</f>
        <v>#VALUE!</v>
      </c>
    </row>
    <row r="178" customFormat="false" ht="12.75" hidden="true" customHeight="false" outlineLevel="0" collapsed="false">
      <c r="B178" s="119" t="e">
        <f aca="false">IF(F178=MIN(F$124:F$324),1,0)</f>
        <v>#VALUE!</v>
      </c>
      <c r="C178" s="119" t="n">
        <v>54</v>
      </c>
      <c r="D178" s="119" t="n">
        <v>212</v>
      </c>
      <c r="E178" s="119" t="n">
        <f aca="false">2*D178</f>
        <v>424</v>
      </c>
      <c r="F178" s="119" t="e">
        <f aca="false">ABS(B$122-E178)</f>
        <v>#VALUE!</v>
      </c>
    </row>
    <row r="179" customFormat="false" ht="12.75" hidden="true" customHeight="false" outlineLevel="0" collapsed="false">
      <c r="B179" s="119" t="e">
        <f aca="false">IF(F179=MIN(F$124:F$324),1,0)</f>
        <v>#VALUE!</v>
      </c>
      <c r="C179" s="119" t="n">
        <v>55</v>
      </c>
      <c r="D179" s="119" t="n">
        <v>218</v>
      </c>
      <c r="E179" s="119" t="n">
        <f aca="false">2*D179</f>
        <v>436</v>
      </c>
      <c r="F179" s="119" t="e">
        <f aca="false">ABS(B$122-E179)</f>
        <v>#VALUE!</v>
      </c>
    </row>
    <row r="180" customFormat="false" ht="12.75" hidden="true" customHeight="false" outlineLevel="0" collapsed="false">
      <c r="B180" s="119" t="e">
        <f aca="false">IF(F180=MIN(F$124:F$324),1,0)</f>
        <v>#VALUE!</v>
      </c>
      <c r="C180" s="119" t="n">
        <v>56</v>
      </c>
      <c r="D180" s="119" t="n">
        <v>224</v>
      </c>
      <c r="E180" s="119" t="n">
        <f aca="false">2*D180</f>
        <v>448</v>
      </c>
      <c r="F180" s="119" t="e">
        <f aca="false">ABS(B$122-E180)</f>
        <v>#VALUE!</v>
      </c>
    </row>
    <row r="181" customFormat="false" ht="12.75" hidden="true" customHeight="false" outlineLevel="0" collapsed="false">
      <c r="B181" s="119" t="e">
        <f aca="false">IF(F181=MIN(F$124:F$324),1,0)</f>
        <v>#VALUE!</v>
      </c>
      <c r="C181" s="119" t="n">
        <v>57</v>
      </c>
      <c r="D181" s="119" t="n">
        <v>230</v>
      </c>
      <c r="E181" s="119" t="n">
        <f aca="false">2*D181</f>
        <v>460</v>
      </c>
      <c r="F181" s="119" t="e">
        <f aca="false">ABS(B$122-E181)</f>
        <v>#VALUE!</v>
      </c>
    </row>
    <row r="182" customFormat="false" ht="12.75" hidden="true" customHeight="false" outlineLevel="0" collapsed="false">
      <c r="B182" s="119" t="e">
        <f aca="false">IF(F182=MIN(F$124:F$324),1,0)</f>
        <v>#VALUE!</v>
      </c>
      <c r="C182" s="119" t="n">
        <v>58</v>
      </c>
      <c r="D182" s="119" t="n">
        <v>236</v>
      </c>
      <c r="E182" s="119" t="n">
        <f aca="false">2*D182</f>
        <v>472</v>
      </c>
      <c r="F182" s="119" t="e">
        <f aca="false">ABS(B$122-E182)</f>
        <v>#VALUE!</v>
      </c>
    </row>
    <row r="183" customFormat="false" ht="12.75" hidden="true" customHeight="false" outlineLevel="0" collapsed="false">
      <c r="B183" s="119" t="e">
        <f aca="false">IF(F183=MIN(F$124:F$324),1,0)</f>
        <v>#VALUE!</v>
      </c>
      <c r="C183" s="119" t="n">
        <v>59</v>
      </c>
      <c r="D183" s="119" t="n">
        <v>240</v>
      </c>
      <c r="E183" s="119" t="n">
        <f aca="false">2*D183</f>
        <v>480</v>
      </c>
      <c r="F183" s="119" t="e">
        <f aca="false">ABS(B$122-E183)</f>
        <v>#VALUE!</v>
      </c>
    </row>
    <row r="184" customFormat="false" ht="12.75" hidden="true" customHeight="false" outlineLevel="0" collapsed="false">
      <c r="B184" s="119" t="e">
        <f aca="false">IF(F184=MIN(F$124:F$324),1,0)</f>
        <v>#VALUE!</v>
      </c>
      <c r="C184" s="119" t="n">
        <v>60</v>
      </c>
      <c r="D184" s="119" t="n">
        <v>250</v>
      </c>
      <c r="E184" s="119" t="n">
        <f aca="false">2*D184</f>
        <v>500</v>
      </c>
      <c r="F184" s="119" t="e">
        <f aca="false">ABS(B$122-E184)</f>
        <v>#VALUE!</v>
      </c>
    </row>
    <row r="185" customFormat="false" ht="12.75" hidden="true" customHeight="false" outlineLevel="0" collapsed="false">
      <c r="B185" s="119" t="e">
        <f aca="false">IF(F185=MIN(F$124:F$324),1,0)</f>
        <v>#VALUE!</v>
      </c>
      <c r="C185" s="119" t="n">
        <v>61</v>
      </c>
      <c r="D185" s="119" t="n">
        <v>257</v>
      </c>
      <c r="E185" s="119" t="n">
        <f aca="false">2*D185</f>
        <v>514</v>
      </c>
      <c r="F185" s="119" t="e">
        <f aca="false">ABS(B$122-E185)</f>
        <v>#VALUE!</v>
      </c>
    </row>
    <row r="186" customFormat="false" ht="12.75" hidden="true" customHeight="false" outlineLevel="0" collapsed="false">
      <c r="B186" s="119" t="e">
        <f aca="false">IF(F186=MIN(F$124:F$324),1,0)</f>
        <v>#VALUE!</v>
      </c>
      <c r="C186" s="119" t="n">
        <v>62</v>
      </c>
      <c r="D186" s="119" t="n">
        <v>265</v>
      </c>
      <c r="E186" s="119" t="n">
        <f aca="false">2*D186</f>
        <v>530</v>
      </c>
      <c r="F186" s="119" t="e">
        <f aca="false">ABS(B$122-E186)</f>
        <v>#VALUE!</v>
      </c>
    </row>
    <row r="187" customFormat="false" ht="12.75" hidden="true" customHeight="false" outlineLevel="0" collapsed="false">
      <c r="B187" s="119" t="e">
        <f aca="false">IF(F187=MIN(F$124:F$324),1,0)</f>
        <v>#VALUE!</v>
      </c>
      <c r="C187" s="119" t="n">
        <v>63</v>
      </c>
      <c r="D187" s="119" t="n">
        <v>272</v>
      </c>
      <c r="E187" s="119" t="n">
        <f aca="false">2*D187</f>
        <v>544</v>
      </c>
      <c r="F187" s="119" t="e">
        <f aca="false">ABS(B$122-E187)</f>
        <v>#VALUE!</v>
      </c>
    </row>
    <row r="188" customFormat="false" ht="12.75" hidden="true" customHeight="false" outlineLevel="0" collapsed="false">
      <c r="B188" s="119" t="e">
        <f aca="false">IF(F188=MIN(F$124:F$324),1,0)</f>
        <v>#VALUE!</v>
      </c>
      <c r="C188" s="119" t="n">
        <v>64</v>
      </c>
      <c r="D188" s="119" t="n">
        <v>280</v>
      </c>
      <c r="E188" s="119" t="n">
        <f aca="false">2*D188</f>
        <v>560</v>
      </c>
      <c r="F188" s="119" t="e">
        <f aca="false">ABS(B$122-E188)</f>
        <v>#VALUE!</v>
      </c>
    </row>
    <row r="189" customFormat="false" ht="12.75" hidden="true" customHeight="false" outlineLevel="0" collapsed="false">
      <c r="B189" s="119" t="e">
        <f aca="false">IF(F189=MIN(F$124:F$324),1,0)</f>
        <v>#VALUE!</v>
      </c>
      <c r="C189" s="119" t="n">
        <v>65</v>
      </c>
      <c r="D189" s="119" t="n">
        <v>290</v>
      </c>
      <c r="E189" s="119" t="n">
        <f aca="false">2*D189</f>
        <v>580</v>
      </c>
      <c r="F189" s="119" t="e">
        <f aca="false">ABS(B$122-E189)</f>
        <v>#VALUE!</v>
      </c>
    </row>
    <row r="190" customFormat="false" ht="12.75" hidden="true" customHeight="false" outlineLevel="0" collapsed="false">
      <c r="B190" s="119" t="e">
        <f aca="false">IF(F190=MIN(F$124:F$324),1,0)</f>
        <v>#VALUE!</v>
      </c>
      <c r="C190" s="119" t="n">
        <v>66</v>
      </c>
      <c r="D190" s="119" t="n">
        <v>300</v>
      </c>
      <c r="E190" s="119" t="n">
        <f aca="false">2*D190</f>
        <v>600</v>
      </c>
      <c r="F190" s="119" t="e">
        <f aca="false">ABS(B$122-E190)</f>
        <v>#VALUE!</v>
      </c>
    </row>
    <row r="191" customFormat="false" ht="12.75" hidden="true" customHeight="false" outlineLevel="0" collapsed="false">
      <c r="B191" s="119" t="e">
        <f aca="false">IF(F191=MIN(F$124:F$324),1,0)</f>
        <v>#VALUE!</v>
      </c>
      <c r="C191" s="119" t="n">
        <v>67</v>
      </c>
      <c r="D191" s="119" t="n">
        <v>307</v>
      </c>
      <c r="E191" s="119" t="n">
        <f aca="false">2*D191</f>
        <v>614</v>
      </c>
      <c r="F191" s="119" t="e">
        <f aca="false">ABS(B$122-E191)</f>
        <v>#VALUE!</v>
      </c>
    </row>
    <row r="192" customFormat="false" ht="12.75" hidden="true" customHeight="false" outlineLevel="0" collapsed="false">
      <c r="B192" s="119" t="e">
        <f aca="false">IF(F192=MIN(F$124:F$324),1,0)</f>
        <v>#VALUE!</v>
      </c>
      <c r="C192" s="119" t="n">
        <v>68</v>
      </c>
      <c r="D192" s="119" t="n">
        <v>315</v>
      </c>
      <c r="E192" s="119" t="n">
        <f aca="false">2*D192</f>
        <v>630</v>
      </c>
      <c r="F192" s="119" t="e">
        <f aca="false">ABS(B$122-E192)</f>
        <v>#VALUE!</v>
      </c>
    </row>
    <row r="193" customFormat="false" ht="12.75" hidden="true" customHeight="false" outlineLevel="0" collapsed="false">
      <c r="B193" s="119" t="e">
        <f aca="false">IF(F193=MIN(F$124:F$324),1,0)</f>
        <v>#VALUE!</v>
      </c>
      <c r="C193" s="119" t="n">
        <v>69</v>
      </c>
      <c r="D193" s="119" t="n">
        <v>325</v>
      </c>
      <c r="E193" s="119" t="n">
        <f aca="false">2*D193</f>
        <v>650</v>
      </c>
      <c r="F193" s="119" t="e">
        <f aca="false">ABS(B$122-E193)</f>
        <v>#VALUE!</v>
      </c>
    </row>
    <row r="194" customFormat="false" ht="12.75" hidden="true" customHeight="false" outlineLevel="0" collapsed="false">
      <c r="B194" s="119" t="e">
        <f aca="false">IF(F194=MIN(F$124:F$324),1,0)</f>
        <v>#VALUE!</v>
      </c>
      <c r="C194" s="119" t="n">
        <v>70</v>
      </c>
      <c r="D194" s="119" t="n">
        <v>335</v>
      </c>
      <c r="E194" s="119" t="n">
        <f aca="false">2*D194</f>
        <v>670</v>
      </c>
      <c r="F194" s="119" t="e">
        <f aca="false">ABS(B$122-E194)</f>
        <v>#VALUE!</v>
      </c>
    </row>
    <row r="195" customFormat="false" ht="12.75" hidden="true" customHeight="false" outlineLevel="0" collapsed="false">
      <c r="B195" s="119" t="e">
        <f aca="false">IF(F195=MIN(F$124:F$324),1,0)</f>
        <v>#VALUE!</v>
      </c>
      <c r="C195" s="119" t="n">
        <v>71</v>
      </c>
      <c r="D195" s="119" t="n">
        <v>345</v>
      </c>
      <c r="E195" s="119" t="n">
        <f aca="false">2*D195</f>
        <v>690</v>
      </c>
      <c r="F195" s="119" t="e">
        <f aca="false">ABS(B$122-E195)</f>
        <v>#VALUE!</v>
      </c>
    </row>
    <row r="196" customFormat="false" ht="12.75" hidden="true" customHeight="false" outlineLevel="0" collapsed="false">
      <c r="B196" s="119" t="e">
        <f aca="false">IF(F196=MIN(F$124:F$324),1,0)</f>
        <v>#VALUE!</v>
      </c>
      <c r="C196" s="119" t="n">
        <v>72</v>
      </c>
      <c r="D196" s="119" t="n">
        <v>355</v>
      </c>
      <c r="E196" s="119" t="n">
        <f aca="false">2*D196</f>
        <v>710</v>
      </c>
      <c r="F196" s="119" t="e">
        <f aca="false">ABS(B$122-E196)</f>
        <v>#VALUE!</v>
      </c>
    </row>
    <row r="197" customFormat="false" ht="12.75" hidden="true" customHeight="false" outlineLevel="0" collapsed="false">
      <c r="B197" s="119" t="e">
        <f aca="false">IF(F197=MIN(F$124:F$324),1,0)</f>
        <v>#VALUE!</v>
      </c>
      <c r="C197" s="119" t="n">
        <v>73</v>
      </c>
      <c r="D197" s="119" t="n">
        <v>365</v>
      </c>
      <c r="E197" s="119" t="n">
        <f aca="false">2*D197</f>
        <v>730</v>
      </c>
      <c r="F197" s="119" t="e">
        <f aca="false">ABS(B$122-E197)</f>
        <v>#VALUE!</v>
      </c>
    </row>
    <row r="198" customFormat="false" ht="12.75" hidden="true" customHeight="false" outlineLevel="0" collapsed="false">
      <c r="B198" s="119" t="e">
        <f aca="false">IF(F198=MIN(F$124:F$324),1,0)</f>
        <v>#VALUE!</v>
      </c>
      <c r="C198" s="119" t="n">
        <v>74</v>
      </c>
      <c r="D198" s="119" t="n">
        <v>375</v>
      </c>
      <c r="E198" s="119" t="n">
        <f aca="false">2*D198</f>
        <v>750</v>
      </c>
      <c r="F198" s="119" t="e">
        <f aca="false">ABS(B$122-E198)</f>
        <v>#VALUE!</v>
      </c>
    </row>
    <row r="199" customFormat="false" ht="12.75" hidden="true" customHeight="false" outlineLevel="0" collapsed="false">
      <c r="B199" s="119" t="e">
        <f aca="false">IF(F199=MIN(F$124:F$324),1,0)</f>
        <v>#VALUE!</v>
      </c>
      <c r="C199" s="119" t="n">
        <v>75</v>
      </c>
      <c r="D199" s="119" t="n">
        <v>387</v>
      </c>
      <c r="E199" s="119" t="n">
        <f aca="false">2*D199</f>
        <v>774</v>
      </c>
      <c r="F199" s="119" t="e">
        <f aca="false">ABS(B$122-E199)</f>
        <v>#VALUE!</v>
      </c>
    </row>
    <row r="200" customFormat="false" ht="12.75" hidden="true" customHeight="false" outlineLevel="0" collapsed="false">
      <c r="B200" s="119" t="e">
        <f aca="false">IF(F200=MIN(F$124:F$324),1,0)</f>
        <v>#VALUE!</v>
      </c>
      <c r="C200" s="119" t="n">
        <v>76</v>
      </c>
      <c r="D200" s="119" t="n">
        <v>400</v>
      </c>
      <c r="E200" s="119" t="n">
        <f aca="false">2*D200</f>
        <v>800</v>
      </c>
      <c r="F200" s="119" t="e">
        <f aca="false">ABS(B$122-E200)</f>
        <v>#VALUE!</v>
      </c>
    </row>
    <row r="201" customFormat="false" ht="12.75" hidden="true" customHeight="false" outlineLevel="0" collapsed="false">
      <c r="B201" s="119" t="e">
        <f aca="false">IF(F201=MIN(F$124:F$324),1,0)</f>
        <v>#VALUE!</v>
      </c>
      <c r="C201" s="119" t="n">
        <v>77</v>
      </c>
      <c r="D201" s="119" t="n">
        <v>412</v>
      </c>
      <c r="E201" s="119" t="n">
        <f aca="false">2*D201</f>
        <v>824</v>
      </c>
      <c r="F201" s="119" t="e">
        <f aca="false">ABS(B$122-E201)</f>
        <v>#VALUE!</v>
      </c>
    </row>
    <row r="202" customFormat="false" ht="12.75" hidden="true" customHeight="false" outlineLevel="0" collapsed="false">
      <c r="B202" s="119" t="e">
        <f aca="false">IF(F202=MIN(F$124:F$324),1,0)</f>
        <v>#VALUE!</v>
      </c>
      <c r="C202" s="119" t="n">
        <v>78</v>
      </c>
      <c r="D202" s="119" t="n">
        <v>425</v>
      </c>
      <c r="E202" s="119" t="n">
        <f aca="false">2*D202</f>
        <v>850</v>
      </c>
      <c r="F202" s="119" t="e">
        <f aca="false">ABS(B$122-E202)</f>
        <v>#VALUE!</v>
      </c>
    </row>
    <row r="203" customFormat="false" ht="12.75" hidden="true" customHeight="false" outlineLevel="0" collapsed="false">
      <c r="B203" s="119" t="e">
        <f aca="false">IF(F203=MIN(F$124:F$324),1,0)</f>
        <v>#VALUE!</v>
      </c>
      <c r="C203" s="119" t="n">
        <v>79</v>
      </c>
      <c r="D203" s="119" t="n">
        <v>437</v>
      </c>
      <c r="E203" s="119" t="n">
        <f aca="false">2*D203</f>
        <v>874</v>
      </c>
      <c r="F203" s="119" t="e">
        <f aca="false">ABS(B$122-E203)</f>
        <v>#VALUE!</v>
      </c>
    </row>
    <row r="204" customFormat="false" ht="12.75" hidden="true" customHeight="false" outlineLevel="0" collapsed="false">
      <c r="B204" s="119" t="e">
        <f aca="false">IF(F204=MIN(F$124:F$324),1,0)</f>
        <v>#VALUE!</v>
      </c>
      <c r="C204" s="119" t="n">
        <v>80</v>
      </c>
      <c r="D204" s="119" t="n">
        <v>450</v>
      </c>
      <c r="E204" s="119" t="n">
        <f aca="false">2*D204</f>
        <v>900</v>
      </c>
      <c r="F204" s="119" t="e">
        <f aca="false">ABS(B$122-E204)</f>
        <v>#VALUE!</v>
      </c>
    </row>
    <row r="205" customFormat="false" ht="12.75" hidden="true" customHeight="false" outlineLevel="0" collapsed="false">
      <c r="B205" s="119" t="e">
        <f aca="false">IF(F205=MIN(F$124:F$324),1,0)</f>
        <v>#VALUE!</v>
      </c>
      <c r="C205" s="119" t="n">
        <v>81</v>
      </c>
      <c r="D205" s="119" t="n">
        <v>462</v>
      </c>
      <c r="E205" s="119" t="n">
        <f aca="false">2*D205</f>
        <v>924</v>
      </c>
      <c r="F205" s="119" t="e">
        <f aca="false">ABS(B$122-E205)</f>
        <v>#VALUE!</v>
      </c>
    </row>
    <row r="206" customFormat="false" ht="12.75" hidden="true" customHeight="false" outlineLevel="0" collapsed="false">
      <c r="B206" s="119" t="e">
        <f aca="false">IF(F206=MIN(F$124:F$324),1,0)</f>
        <v>#VALUE!</v>
      </c>
      <c r="C206" s="119" t="n">
        <v>82</v>
      </c>
      <c r="D206" s="119" t="n">
        <v>475</v>
      </c>
      <c r="E206" s="119" t="n">
        <f aca="false">2*D206</f>
        <v>950</v>
      </c>
      <c r="F206" s="119" t="e">
        <f aca="false">ABS(B$122-E206)</f>
        <v>#VALUE!</v>
      </c>
    </row>
    <row r="207" customFormat="false" ht="12.75" hidden="true" customHeight="false" outlineLevel="0" collapsed="false">
      <c r="B207" s="119" t="e">
        <f aca="false">IF(F207=MIN(F$124:F$324),1,0)</f>
        <v>#VALUE!</v>
      </c>
      <c r="C207" s="119" t="n">
        <v>83</v>
      </c>
      <c r="D207" s="119" t="n">
        <v>487</v>
      </c>
      <c r="E207" s="119" t="n">
        <f aca="false">2*D207</f>
        <v>974</v>
      </c>
      <c r="F207" s="119" t="e">
        <f aca="false">ABS(B$122-E207)</f>
        <v>#VALUE!</v>
      </c>
    </row>
    <row r="208" customFormat="false" ht="12.75" hidden="true" customHeight="false" outlineLevel="0" collapsed="false">
      <c r="B208" s="119" t="e">
        <f aca="false">IF(F208=MIN(F$124:F$324),1,0)</f>
        <v>#VALUE!</v>
      </c>
      <c r="C208" s="119" t="n">
        <v>84</v>
      </c>
      <c r="D208" s="119" t="n">
        <v>500</v>
      </c>
      <c r="E208" s="119" t="n">
        <f aca="false">2*D208</f>
        <v>1000</v>
      </c>
      <c r="F208" s="119" t="e">
        <f aca="false">ABS(B$122-E208)</f>
        <v>#VALUE!</v>
      </c>
    </row>
    <row r="209" customFormat="false" ht="12.75" hidden="true" customHeight="false" outlineLevel="0" collapsed="false">
      <c r="B209" s="119" t="e">
        <f aca="false">IF(F209=MIN(F$124:F$324),1,0)</f>
        <v>#VALUE!</v>
      </c>
      <c r="C209" s="119" t="n">
        <v>85</v>
      </c>
      <c r="D209" s="119" t="n">
        <v>515</v>
      </c>
      <c r="E209" s="119" t="n">
        <f aca="false">2*D209</f>
        <v>1030</v>
      </c>
      <c r="F209" s="119" t="e">
        <f aca="false">ABS(B$122-E209)</f>
        <v>#VALUE!</v>
      </c>
    </row>
    <row r="210" customFormat="false" ht="12.75" hidden="true" customHeight="false" outlineLevel="0" collapsed="false">
      <c r="B210" s="119" t="e">
        <f aca="false">IF(F210=MIN(F$124:F$324),1,0)</f>
        <v>#VALUE!</v>
      </c>
      <c r="C210" s="119" t="n">
        <v>86</v>
      </c>
      <c r="D210" s="119" t="n">
        <v>530</v>
      </c>
      <c r="E210" s="119" t="n">
        <f aca="false">2*D210</f>
        <v>1060</v>
      </c>
      <c r="F210" s="119" t="e">
        <f aca="false">ABS(B$122-E210)</f>
        <v>#VALUE!</v>
      </c>
    </row>
    <row r="211" customFormat="false" ht="12.75" hidden="true" customHeight="false" outlineLevel="0" collapsed="false">
      <c r="B211" s="119" t="e">
        <f aca="false">IF(F211=MIN(F$124:F$324),1,0)</f>
        <v>#VALUE!</v>
      </c>
      <c r="C211" s="119" t="n">
        <v>87</v>
      </c>
      <c r="D211" s="119" t="n">
        <v>545</v>
      </c>
      <c r="E211" s="119" t="n">
        <f aca="false">2*D211</f>
        <v>1090</v>
      </c>
      <c r="F211" s="119" t="e">
        <f aca="false">ABS(B$122-E211)</f>
        <v>#VALUE!</v>
      </c>
    </row>
    <row r="212" customFormat="false" ht="12.75" hidden="true" customHeight="false" outlineLevel="0" collapsed="false">
      <c r="B212" s="119" t="e">
        <f aca="false">IF(F212=MIN(F$124:F$324),1,0)</f>
        <v>#VALUE!</v>
      </c>
      <c r="C212" s="119" t="n">
        <v>88</v>
      </c>
      <c r="D212" s="119" t="n">
        <v>560</v>
      </c>
      <c r="E212" s="119" t="n">
        <f aca="false">2*D212</f>
        <v>1120</v>
      </c>
      <c r="F212" s="119" t="e">
        <f aca="false">ABS(B$122-E212)</f>
        <v>#VALUE!</v>
      </c>
    </row>
    <row r="213" customFormat="false" ht="12.75" hidden="true" customHeight="false" outlineLevel="0" collapsed="false">
      <c r="B213" s="119" t="e">
        <f aca="false">IF(F213=MIN(F$124:F$324),1,0)</f>
        <v>#VALUE!</v>
      </c>
      <c r="C213" s="119" t="n">
        <v>89</v>
      </c>
      <c r="D213" s="119" t="n">
        <v>580</v>
      </c>
      <c r="E213" s="119" t="n">
        <f aca="false">2*D213</f>
        <v>1160</v>
      </c>
      <c r="F213" s="119" t="e">
        <f aca="false">ABS(B$122-E213)</f>
        <v>#VALUE!</v>
      </c>
    </row>
    <row r="214" customFormat="false" ht="12.75" hidden="true" customHeight="false" outlineLevel="0" collapsed="false">
      <c r="B214" s="119" t="e">
        <f aca="false">IF(F214=MIN(F$124:F$324),1,0)</f>
        <v>#VALUE!</v>
      </c>
      <c r="C214" s="119" t="n">
        <v>90</v>
      </c>
      <c r="D214" s="119" t="n">
        <v>600</v>
      </c>
      <c r="E214" s="119" t="n">
        <f aca="false">2*D214</f>
        <v>1200</v>
      </c>
      <c r="F214" s="119" t="e">
        <f aca="false">ABS(B$122-E214)</f>
        <v>#VALUE!</v>
      </c>
    </row>
    <row r="215" customFormat="false" ht="12.75" hidden="true" customHeight="false" outlineLevel="0" collapsed="false">
      <c r="B215" s="119" t="e">
        <f aca="false">IF(F215=MIN(F$124:F$324),1,0)</f>
        <v>#VALUE!</v>
      </c>
      <c r="C215" s="119" t="n">
        <v>91</v>
      </c>
      <c r="D215" s="119" t="n">
        <v>615</v>
      </c>
      <c r="E215" s="119" t="n">
        <f aca="false">2*D215</f>
        <v>1230</v>
      </c>
      <c r="F215" s="119" t="e">
        <f aca="false">ABS(B$122-E215)</f>
        <v>#VALUE!</v>
      </c>
    </row>
    <row r="216" customFormat="false" ht="12.75" hidden="true" customHeight="false" outlineLevel="0" collapsed="false">
      <c r="B216" s="119" t="e">
        <f aca="false">IF(F216=MIN(F$124:F$324),1,0)</f>
        <v>#VALUE!</v>
      </c>
      <c r="C216" s="119" t="n">
        <v>92</v>
      </c>
      <c r="D216" s="119" t="n">
        <v>630</v>
      </c>
      <c r="E216" s="119" t="n">
        <f aca="false">2*D216</f>
        <v>1260</v>
      </c>
      <c r="F216" s="119" t="e">
        <f aca="false">ABS(B$122-E216)</f>
        <v>#VALUE!</v>
      </c>
    </row>
    <row r="217" customFormat="false" ht="12.75" hidden="true" customHeight="false" outlineLevel="0" collapsed="false">
      <c r="B217" s="119" t="e">
        <f aca="false">IF(F217=MIN(F$124:F$324),1,0)</f>
        <v>#VALUE!</v>
      </c>
      <c r="C217" s="119" t="n">
        <v>93</v>
      </c>
      <c r="D217" s="119" t="n">
        <v>650</v>
      </c>
      <c r="E217" s="119" t="n">
        <f aca="false">2*D217</f>
        <v>1300</v>
      </c>
      <c r="F217" s="119" t="e">
        <f aca="false">ABS(B$122-E217)</f>
        <v>#VALUE!</v>
      </c>
    </row>
    <row r="218" customFormat="false" ht="12.75" hidden="true" customHeight="false" outlineLevel="0" collapsed="false">
      <c r="B218" s="119" t="e">
        <f aca="false">IF(F218=MIN(F$124:F$324),1,0)</f>
        <v>#VALUE!</v>
      </c>
      <c r="C218" s="119" t="n">
        <v>94</v>
      </c>
      <c r="D218" s="119" t="n">
        <v>670</v>
      </c>
      <c r="E218" s="119" t="n">
        <f aca="false">2*D218</f>
        <v>1340</v>
      </c>
      <c r="F218" s="119" t="e">
        <f aca="false">ABS(B$122-E218)</f>
        <v>#VALUE!</v>
      </c>
    </row>
    <row r="219" customFormat="false" ht="12.75" hidden="true" customHeight="false" outlineLevel="0" collapsed="false">
      <c r="B219" s="119" t="e">
        <f aca="false">IF(F219=MIN(F$124:F$324),1,0)</f>
        <v>#VALUE!</v>
      </c>
      <c r="C219" s="119" t="n">
        <v>95</v>
      </c>
      <c r="D219" s="119" t="n">
        <v>690</v>
      </c>
      <c r="E219" s="119" t="n">
        <f aca="false">2*D219</f>
        <v>1380</v>
      </c>
      <c r="F219" s="119" t="e">
        <f aca="false">ABS(B$122-E219)</f>
        <v>#VALUE!</v>
      </c>
    </row>
    <row r="220" customFormat="false" ht="12.75" hidden="true" customHeight="false" outlineLevel="0" collapsed="false">
      <c r="B220" s="119" t="e">
        <f aca="false">IF(F220=MIN(F$124:F$324),1,0)</f>
        <v>#VALUE!</v>
      </c>
      <c r="C220" s="119" t="n">
        <v>96</v>
      </c>
      <c r="D220" s="119" t="n">
        <v>710</v>
      </c>
      <c r="E220" s="119" t="n">
        <f aca="false">2*D220</f>
        <v>1420</v>
      </c>
      <c r="F220" s="119" t="e">
        <f aca="false">ABS(B$122-E220)</f>
        <v>#VALUE!</v>
      </c>
    </row>
    <row r="221" customFormat="false" ht="12.75" hidden="true" customHeight="false" outlineLevel="0" collapsed="false">
      <c r="B221" s="119" t="e">
        <f aca="false">IF(F221=MIN(F$124:F$324),1,0)</f>
        <v>#VALUE!</v>
      </c>
      <c r="C221" s="119" t="n">
        <v>97</v>
      </c>
      <c r="D221" s="119" t="n">
        <v>730</v>
      </c>
      <c r="E221" s="119" t="n">
        <f aca="false">2*D221</f>
        <v>1460</v>
      </c>
      <c r="F221" s="119" t="e">
        <f aca="false">ABS(B$122-E221)</f>
        <v>#VALUE!</v>
      </c>
    </row>
    <row r="222" customFormat="false" ht="12.75" hidden="true" customHeight="false" outlineLevel="0" collapsed="false">
      <c r="B222" s="119" t="e">
        <f aca="false">IF(F222=MIN(F$124:F$324),1,0)</f>
        <v>#VALUE!</v>
      </c>
      <c r="C222" s="119" t="n">
        <v>98</v>
      </c>
      <c r="D222" s="119" t="n">
        <v>750</v>
      </c>
      <c r="E222" s="119" t="n">
        <f aca="false">2*D222</f>
        <v>1500</v>
      </c>
      <c r="F222" s="119" t="e">
        <f aca="false">ABS(B$122-E222)</f>
        <v>#VALUE!</v>
      </c>
    </row>
    <row r="223" customFormat="false" ht="12.75" hidden="true" customHeight="false" outlineLevel="0" collapsed="false">
      <c r="B223" s="119" t="e">
        <f aca="false">IF(F223=MIN(F$124:F$324),1,0)</f>
        <v>#VALUE!</v>
      </c>
      <c r="C223" s="119" t="n">
        <v>99</v>
      </c>
      <c r="D223" s="119" t="n">
        <v>775</v>
      </c>
      <c r="E223" s="119" t="n">
        <f aca="false">2*D223</f>
        <v>1550</v>
      </c>
      <c r="F223" s="119" t="e">
        <f aca="false">ABS(B$122-E223)</f>
        <v>#VALUE!</v>
      </c>
    </row>
    <row r="224" customFormat="false" ht="12.75" hidden="true" customHeight="false" outlineLevel="0" collapsed="false">
      <c r="B224" s="119" t="e">
        <f aca="false">IF(F224=MIN(F$124:F$324),1,0)</f>
        <v>#VALUE!</v>
      </c>
      <c r="C224" s="119" t="n">
        <v>100</v>
      </c>
      <c r="D224" s="119" t="n">
        <v>800</v>
      </c>
      <c r="E224" s="119" t="n">
        <f aca="false">2*D224</f>
        <v>1600</v>
      </c>
      <c r="F224" s="119" t="e">
        <f aca="false">ABS(B$122-E224)</f>
        <v>#VALUE!</v>
      </c>
    </row>
    <row r="225" customFormat="false" ht="12.75" hidden="true" customHeight="false" outlineLevel="0" collapsed="false">
      <c r="B225" s="119" t="e">
        <f aca="false">IF(F225=MIN(F$124:F$324),1,0)</f>
        <v>#VALUE!</v>
      </c>
      <c r="C225" s="119" t="n">
        <v>101</v>
      </c>
      <c r="D225" s="119" t="n">
        <v>825</v>
      </c>
      <c r="E225" s="119" t="n">
        <f aca="false">2*D225</f>
        <v>1650</v>
      </c>
      <c r="F225" s="119" t="e">
        <f aca="false">ABS(B$122-E225)</f>
        <v>#VALUE!</v>
      </c>
    </row>
    <row r="226" customFormat="false" ht="12.75" hidden="true" customHeight="false" outlineLevel="0" collapsed="false">
      <c r="B226" s="119" t="e">
        <f aca="false">IF(F226=MIN(F$124:F$324),1,0)</f>
        <v>#VALUE!</v>
      </c>
      <c r="C226" s="119" t="n">
        <v>102</v>
      </c>
      <c r="D226" s="119" t="n">
        <v>850</v>
      </c>
      <c r="E226" s="119" t="n">
        <f aca="false">2*D226</f>
        <v>1700</v>
      </c>
      <c r="F226" s="119" t="e">
        <f aca="false">ABS(B$122-E226)</f>
        <v>#VALUE!</v>
      </c>
    </row>
    <row r="227" customFormat="false" ht="12.75" hidden="true" customHeight="false" outlineLevel="0" collapsed="false">
      <c r="B227" s="119" t="e">
        <f aca="false">IF(F227=MIN(F$124:F$324),1,0)</f>
        <v>#VALUE!</v>
      </c>
      <c r="C227" s="119" t="n">
        <v>103</v>
      </c>
      <c r="D227" s="119" t="n">
        <v>875</v>
      </c>
      <c r="E227" s="119" t="n">
        <f aca="false">2*D227</f>
        <v>1750</v>
      </c>
      <c r="F227" s="119" t="e">
        <f aca="false">ABS(B$122-E227)</f>
        <v>#VALUE!</v>
      </c>
    </row>
    <row r="228" customFormat="false" ht="12.75" hidden="true" customHeight="false" outlineLevel="0" collapsed="false">
      <c r="B228" s="119" t="e">
        <f aca="false">IF(F228=MIN(F$124:F$324),1,0)</f>
        <v>#VALUE!</v>
      </c>
      <c r="C228" s="119" t="n">
        <v>104</v>
      </c>
      <c r="D228" s="119" t="n">
        <v>900</v>
      </c>
      <c r="E228" s="119" t="n">
        <f aca="false">2*D228</f>
        <v>1800</v>
      </c>
      <c r="F228" s="119" t="e">
        <f aca="false">ABS(B$122-E228)</f>
        <v>#VALUE!</v>
      </c>
    </row>
    <row r="229" customFormat="false" ht="12.75" hidden="true" customHeight="false" outlineLevel="0" collapsed="false">
      <c r="B229" s="119" t="e">
        <f aca="false">IF(F229=MIN(F$124:F$324),1,0)</f>
        <v>#VALUE!</v>
      </c>
      <c r="C229" s="119" t="n">
        <v>105</v>
      </c>
      <c r="D229" s="119" t="n">
        <v>925</v>
      </c>
      <c r="E229" s="119" t="n">
        <f aca="false">2*D229</f>
        <v>1850</v>
      </c>
      <c r="F229" s="119" t="e">
        <f aca="false">ABS(B$122-E229)</f>
        <v>#VALUE!</v>
      </c>
    </row>
    <row r="230" customFormat="false" ht="12.75" hidden="true" customHeight="false" outlineLevel="0" collapsed="false">
      <c r="B230" s="119" t="e">
        <f aca="false">IF(F230=MIN(F$124:F$324),1,0)</f>
        <v>#VALUE!</v>
      </c>
      <c r="C230" s="119" t="n">
        <v>106</v>
      </c>
      <c r="D230" s="119" t="n">
        <v>950</v>
      </c>
      <c r="E230" s="119" t="n">
        <f aca="false">2*D230</f>
        <v>1900</v>
      </c>
      <c r="F230" s="119" t="e">
        <f aca="false">ABS(B$122-E230)</f>
        <v>#VALUE!</v>
      </c>
    </row>
    <row r="231" customFormat="false" ht="12.75" hidden="true" customHeight="false" outlineLevel="0" collapsed="false">
      <c r="B231" s="119" t="e">
        <f aca="false">IF(F231=MIN(F$124:F$324),1,0)</f>
        <v>#VALUE!</v>
      </c>
      <c r="C231" s="119" t="n">
        <v>107</v>
      </c>
      <c r="D231" s="119" t="n">
        <v>975</v>
      </c>
      <c r="E231" s="119" t="n">
        <f aca="false">2*D231</f>
        <v>1950</v>
      </c>
      <c r="F231" s="119" t="e">
        <f aca="false">ABS(B$122-E231)</f>
        <v>#VALUE!</v>
      </c>
    </row>
    <row r="232" customFormat="false" ht="12.75" hidden="true" customHeight="false" outlineLevel="0" collapsed="false">
      <c r="B232" s="119" t="e">
        <f aca="false">IF(F232=MIN(F$124:F$324),1,0)</f>
        <v>#VALUE!</v>
      </c>
      <c r="C232" s="119" t="n">
        <v>108</v>
      </c>
      <c r="D232" s="119" t="n">
        <v>1000</v>
      </c>
      <c r="E232" s="119" t="n">
        <f aca="false">2*D232</f>
        <v>2000</v>
      </c>
      <c r="F232" s="119" t="e">
        <f aca="false">ABS(B$122-E232)</f>
        <v>#VALUE!</v>
      </c>
    </row>
    <row r="233" customFormat="false" ht="12.75" hidden="true" customHeight="false" outlineLevel="0" collapsed="false">
      <c r="B233" s="119" t="e">
        <f aca="false">IF(F233=MIN(F$124:F$324),1,0)</f>
        <v>#VALUE!</v>
      </c>
      <c r="C233" s="119" t="n">
        <v>109</v>
      </c>
      <c r="D233" s="119" t="n">
        <v>1030</v>
      </c>
      <c r="E233" s="119" t="n">
        <f aca="false">2*D233</f>
        <v>2060</v>
      </c>
      <c r="F233" s="119" t="e">
        <f aca="false">ABS(B$122-E233)</f>
        <v>#VALUE!</v>
      </c>
    </row>
    <row r="234" customFormat="false" ht="12.75" hidden="true" customHeight="false" outlineLevel="0" collapsed="false">
      <c r="B234" s="119" t="e">
        <f aca="false">IF(F234=MIN(F$124:F$324),1,0)</f>
        <v>#VALUE!</v>
      </c>
      <c r="C234" s="119" t="n">
        <v>110</v>
      </c>
      <c r="D234" s="119" t="n">
        <v>1060</v>
      </c>
      <c r="E234" s="119" t="n">
        <f aca="false">2*D234</f>
        <v>2120</v>
      </c>
      <c r="F234" s="119" t="e">
        <f aca="false">ABS(B$122-E234)</f>
        <v>#VALUE!</v>
      </c>
    </row>
    <row r="235" customFormat="false" ht="12.75" hidden="true" customHeight="false" outlineLevel="0" collapsed="false">
      <c r="B235" s="119" t="e">
        <f aca="false">IF(F235=MIN(F$124:F$324),1,0)</f>
        <v>#VALUE!</v>
      </c>
      <c r="C235" s="119" t="n">
        <v>111</v>
      </c>
      <c r="D235" s="119" t="n">
        <v>1090</v>
      </c>
      <c r="E235" s="119" t="n">
        <f aca="false">2*D235</f>
        <v>2180</v>
      </c>
      <c r="F235" s="119" t="e">
        <f aca="false">ABS(B$122-E235)</f>
        <v>#VALUE!</v>
      </c>
    </row>
    <row r="236" customFormat="false" ht="12.75" hidden="true" customHeight="false" outlineLevel="0" collapsed="false">
      <c r="B236" s="119" t="e">
        <f aca="false">IF(F236=MIN(F$124:F$324),1,0)</f>
        <v>#VALUE!</v>
      </c>
      <c r="C236" s="119" t="n">
        <v>112</v>
      </c>
      <c r="D236" s="119" t="n">
        <v>1120</v>
      </c>
      <c r="E236" s="119" t="n">
        <f aca="false">2*D236</f>
        <v>2240</v>
      </c>
      <c r="F236" s="119" t="e">
        <f aca="false">ABS(B$122-E236)</f>
        <v>#VALUE!</v>
      </c>
    </row>
    <row r="237" customFormat="false" ht="12.75" hidden="true" customHeight="false" outlineLevel="0" collapsed="false">
      <c r="B237" s="119" t="e">
        <f aca="false">IF(F237=MIN(F$124:F$324),1,0)</f>
        <v>#VALUE!</v>
      </c>
      <c r="C237" s="119" t="n">
        <v>113</v>
      </c>
      <c r="D237" s="119" t="n">
        <v>1150</v>
      </c>
      <c r="E237" s="119" t="n">
        <f aca="false">2*D237</f>
        <v>2300</v>
      </c>
      <c r="F237" s="119" t="e">
        <f aca="false">ABS(B$122-E237)</f>
        <v>#VALUE!</v>
      </c>
    </row>
    <row r="238" customFormat="false" ht="12.75" hidden="true" customHeight="false" outlineLevel="0" collapsed="false">
      <c r="B238" s="119" t="e">
        <f aca="false">IF(F238=MIN(F$124:F$324),1,0)</f>
        <v>#VALUE!</v>
      </c>
      <c r="C238" s="119" t="n">
        <v>114</v>
      </c>
      <c r="D238" s="119" t="n">
        <v>1180</v>
      </c>
      <c r="E238" s="119" t="n">
        <f aca="false">2*D238</f>
        <v>2360</v>
      </c>
      <c r="F238" s="119" t="e">
        <f aca="false">ABS(B$122-E238)</f>
        <v>#VALUE!</v>
      </c>
    </row>
    <row r="239" customFormat="false" ht="12.75" hidden="true" customHeight="false" outlineLevel="0" collapsed="false">
      <c r="B239" s="119" t="e">
        <f aca="false">IF(F239=MIN(F$124:F$324),1,0)</f>
        <v>#VALUE!</v>
      </c>
      <c r="C239" s="119" t="n">
        <v>115</v>
      </c>
      <c r="D239" s="119" t="n">
        <v>1215</v>
      </c>
      <c r="E239" s="119" t="n">
        <f aca="false">2*D239</f>
        <v>2430</v>
      </c>
      <c r="F239" s="119" t="e">
        <f aca="false">ABS(B$122-E239)</f>
        <v>#VALUE!</v>
      </c>
    </row>
    <row r="240" customFormat="false" ht="12.75" hidden="true" customHeight="false" outlineLevel="0" collapsed="false">
      <c r="B240" s="119" t="e">
        <f aca="false">IF(F240=MIN(F$124:F$324),1,0)</f>
        <v>#VALUE!</v>
      </c>
      <c r="C240" s="119" t="n">
        <v>116</v>
      </c>
      <c r="D240" s="119" t="n">
        <v>1250</v>
      </c>
      <c r="E240" s="119" t="n">
        <f aca="false">2*D240</f>
        <v>2500</v>
      </c>
      <c r="F240" s="119" t="e">
        <f aca="false">ABS(B$122-E240)</f>
        <v>#VALUE!</v>
      </c>
    </row>
    <row r="241" customFormat="false" ht="12.75" hidden="true" customHeight="false" outlineLevel="0" collapsed="false">
      <c r="B241" s="119" t="e">
        <f aca="false">IF(F241=MIN(F$124:F$324),1,0)</f>
        <v>#VALUE!</v>
      </c>
      <c r="C241" s="119" t="n">
        <v>117</v>
      </c>
      <c r="D241" s="119" t="n">
        <v>1285</v>
      </c>
      <c r="E241" s="119" t="n">
        <f aca="false">2*D241</f>
        <v>2570</v>
      </c>
      <c r="F241" s="119" t="e">
        <f aca="false">ABS(B$122-E241)</f>
        <v>#VALUE!</v>
      </c>
    </row>
    <row r="242" customFormat="false" ht="12.75" hidden="true" customHeight="false" outlineLevel="0" collapsed="false">
      <c r="B242" s="119" t="e">
        <f aca="false">IF(F242=MIN(F$124:F$324),1,0)</f>
        <v>#VALUE!</v>
      </c>
      <c r="C242" s="119" t="n">
        <v>118</v>
      </c>
      <c r="D242" s="119" t="n">
        <v>1320</v>
      </c>
      <c r="E242" s="119" t="n">
        <f aca="false">2*D242</f>
        <v>2640</v>
      </c>
      <c r="F242" s="119" t="e">
        <f aca="false">ABS(B$122-E242)</f>
        <v>#VALUE!</v>
      </c>
    </row>
    <row r="243" customFormat="false" ht="12.75" hidden="true" customHeight="false" outlineLevel="0" collapsed="false">
      <c r="B243" s="119" t="e">
        <f aca="false">IF(F243=MIN(F$124:F$324),1,0)</f>
        <v>#VALUE!</v>
      </c>
      <c r="C243" s="119" t="n">
        <v>119</v>
      </c>
      <c r="D243" s="119" t="n">
        <v>1360</v>
      </c>
      <c r="E243" s="119" t="n">
        <f aca="false">2*D243</f>
        <v>2720</v>
      </c>
      <c r="F243" s="119" t="e">
        <f aca="false">ABS(B$122-E243)</f>
        <v>#VALUE!</v>
      </c>
    </row>
    <row r="244" customFormat="false" ht="12.75" hidden="true" customHeight="false" outlineLevel="0" collapsed="false">
      <c r="B244" s="119" t="e">
        <f aca="false">IF(F244=MIN(F$124:F$324),1,0)</f>
        <v>#VALUE!</v>
      </c>
      <c r="C244" s="119" t="n">
        <v>120</v>
      </c>
      <c r="D244" s="119" t="n">
        <v>1400</v>
      </c>
      <c r="E244" s="119" t="n">
        <f aca="false">2*D244</f>
        <v>2800</v>
      </c>
      <c r="F244" s="119" t="e">
        <f aca="false">ABS(B$122-E244)</f>
        <v>#VALUE!</v>
      </c>
    </row>
    <row r="245" customFormat="false" ht="12.75" hidden="true" customHeight="false" outlineLevel="0" collapsed="false">
      <c r="B245" s="119" t="e">
        <f aca="false">IF(F245=MIN(F$124:F$324),1,0)</f>
        <v>#VALUE!</v>
      </c>
      <c r="C245" s="119" t="n">
        <v>121</v>
      </c>
      <c r="D245" s="119" t="n">
        <v>1450</v>
      </c>
      <c r="E245" s="119" t="n">
        <f aca="false">2*D245</f>
        <v>2900</v>
      </c>
      <c r="F245" s="119" t="e">
        <f aca="false">ABS(B$122-E245)</f>
        <v>#VALUE!</v>
      </c>
    </row>
    <row r="246" customFormat="false" ht="12.75" hidden="true" customHeight="false" outlineLevel="0" collapsed="false">
      <c r="B246" s="119" t="e">
        <f aca="false">IF(F246=MIN(F$124:F$324),1,0)</f>
        <v>#VALUE!</v>
      </c>
      <c r="C246" s="119" t="n">
        <v>122</v>
      </c>
      <c r="D246" s="119" t="n">
        <v>1500</v>
      </c>
      <c r="E246" s="119" t="n">
        <f aca="false">2*D246</f>
        <v>3000</v>
      </c>
      <c r="F246" s="119" t="e">
        <f aca="false">ABS(B$122-E246)</f>
        <v>#VALUE!</v>
      </c>
    </row>
    <row r="247" customFormat="false" ht="12.75" hidden="true" customHeight="false" outlineLevel="0" collapsed="false">
      <c r="B247" s="119" t="e">
        <f aca="false">IF(F247=MIN(F$124:F$324),1,0)</f>
        <v>#VALUE!</v>
      </c>
      <c r="C247" s="119" t="n">
        <v>123</v>
      </c>
      <c r="D247" s="119" t="n">
        <v>1550</v>
      </c>
      <c r="E247" s="119" t="n">
        <f aca="false">2*D247</f>
        <v>3100</v>
      </c>
      <c r="F247" s="119" t="e">
        <f aca="false">ABS(B$122-E247)</f>
        <v>#VALUE!</v>
      </c>
    </row>
    <row r="248" customFormat="false" ht="12.75" hidden="true" customHeight="false" outlineLevel="0" collapsed="false">
      <c r="B248" s="119" t="e">
        <f aca="false">IF(F248=MIN(F$124:F$324),1,0)</f>
        <v>#VALUE!</v>
      </c>
      <c r="C248" s="119" t="n">
        <v>124</v>
      </c>
      <c r="D248" s="119" t="n">
        <v>1600</v>
      </c>
      <c r="E248" s="119" t="n">
        <f aca="false">2*D248</f>
        <v>3200</v>
      </c>
      <c r="F248" s="119" t="e">
        <f aca="false">ABS(B$122-E248)</f>
        <v>#VALUE!</v>
      </c>
    </row>
    <row r="249" customFormat="false" ht="12.75" hidden="true" customHeight="false" outlineLevel="0" collapsed="false">
      <c r="B249" s="119" t="e">
        <f aca="false">IF(F249=MIN(F$124:F$324),1,0)</f>
        <v>#VALUE!</v>
      </c>
      <c r="C249" s="119" t="n">
        <v>125</v>
      </c>
      <c r="D249" s="119" t="n">
        <v>1650</v>
      </c>
      <c r="E249" s="119" t="n">
        <f aca="false">2*D249</f>
        <v>3300</v>
      </c>
      <c r="F249" s="119" t="e">
        <f aca="false">ABS(B$122-E249)</f>
        <v>#VALUE!</v>
      </c>
    </row>
    <row r="250" customFormat="false" ht="12.75" hidden="true" customHeight="false" outlineLevel="0" collapsed="false">
      <c r="B250" s="119" t="e">
        <f aca="false">IF(F250=MIN(F$124:F$324),1,0)</f>
        <v>#VALUE!</v>
      </c>
      <c r="C250" s="119" t="n">
        <v>126</v>
      </c>
      <c r="D250" s="119" t="n">
        <v>1700</v>
      </c>
      <c r="E250" s="119" t="n">
        <f aca="false">2*D250</f>
        <v>3400</v>
      </c>
      <c r="F250" s="119" t="e">
        <f aca="false">ABS(B$122-E250)</f>
        <v>#VALUE!</v>
      </c>
    </row>
    <row r="251" customFormat="false" ht="12.75" hidden="true" customHeight="false" outlineLevel="0" collapsed="false">
      <c r="B251" s="119" t="e">
        <f aca="false">IF(F251=MIN(F$124:F$324),1,0)</f>
        <v>#VALUE!</v>
      </c>
      <c r="C251" s="119" t="n">
        <v>127</v>
      </c>
      <c r="D251" s="119" t="n">
        <v>1750</v>
      </c>
      <c r="E251" s="119" t="n">
        <f aca="false">2*D251</f>
        <v>3500</v>
      </c>
      <c r="F251" s="119" t="e">
        <f aca="false">ABS(B$122-E251)</f>
        <v>#VALUE!</v>
      </c>
    </row>
    <row r="252" customFormat="false" ht="12.75" hidden="true" customHeight="false" outlineLevel="0" collapsed="false">
      <c r="B252" s="119" t="e">
        <f aca="false">IF(F252=MIN(F$124:F$324),1,0)</f>
        <v>#VALUE!</v>
      </c>
      <c r="C252" s="119" t="n">
        <v>128</v>
      </c>
      <c r="D252" s="119" t="n">
        <v>1800</v>
      </c>
      <c r="E252" s="119" t="n">
        <f aca="false">2*D252</f>
        <v>3600</v>
      </c>
      <c r="F252" s="119" t="e">
        <f aca="false">ABS(B$122-E252)</f>
        <v>#VALUE!</v>
      </c>
    </row>
    <row r="253" customFormat="false" ht="12.75" hidden="true" customHeight="false" outlineLevel="0" collapsed="false">
      <c r="B253" s="119" t="e">
        <f aca="false">IF(F253=MIN(F$124:F$324),1,0)</f>
        <v>#VALUE!</v>
      </c>
      <c r="C253" s="119" t="n">
        <v>129</v>
      </c>
      <c r="D253" s="119" t="n">
        <v>1850</v>
      </c>
      <c r="E253" s="119" t="n">
        <f aca="false">2*D253</f>
        <v>3700</v>
      </c>
      <c r="F253" s="119" t="e">
        <f aca="false">ABS(B$122-E253)</f>
        <v>#VALUE!</v>
      </c>
    </row>
    <row r="254" customFormat="false" ht="12.75" hidden="true" customHeight="false" outlineLevel="0" collapsed="false">
      <c r="B254" s="119" t="e">
        <f aca="false">IF(F254=MIN(F$124:F$324),1,0)</f>
        <v>#VALUE!</v>
      </c>
      <c r="C254" s="119" t="n">
        <v>130</v>
      </c>
      <c r="D254" s="119" t="n">
        <v>1900</v>
      </c>
      <c r="E254" s="119" t="n">
        <f aca="false">2*D254</f>
        <v>3800</v>
      </c>
      <c r="F254" s="119" t="e">
        <f aca="false">ABS(B$122-E254)</f>
        <v>#VALUE!</v>
      </c>
    </row>
    <row r="255" customFormat="false" ht="12.75" hidden="true" customHeight="false" outlineLevel="0" collapsed="false">
      <c r="B255" s="119" t="e">
        <f aca="false">IF(F255=MIN(F$124:F$324),1,0)</f>
        <v>#VALUE!</v>
      </c>
      <c r="C255" s="119" t="n">
        <v>131</v>
      </c>
      <c r="D255" s="119" t="n">
        <v>1950</v>
      </c>
      <c r="E255" s="119" t="n">
        <f aca="false">2*D255</f>
        <v>3900</v>
      </c>
      <c r="F255" s="119" t="e">
        <f aca="false">ABS(B$122-E255)</f>
        <v>#VALUE!</v>
      </c>
    </row>
    <row r="256" customFormat="false" ht="12.75" hidden="true" customHeight="false" outlineLevel="0" collapsed="false">
      <c r="B256" s="119" t="e">
        <f aca="false">IF(F256=MIN(F$124:F$324),1,0)</f>
        <v>#VALUE!</v>
      </c>
      <c r="C256" s="119" t="n">
        <v>132</v>
      </c>
      <c r="D256" s="119" t="n">
        <v>2000</v>
      </c>
      <c r="E256" s="119" t="n">
        <f aca="false">2*D256</f>
        <v>4000</v>
      </c>
      <c r="F256" s="119" t="e">
        <f aca="false">ABS(B$122-E256)</f>
        <v>#VALUE!</v>
      </c>
    </row>
    <row r="257" customFormat="false" ht="12.75" hidden="true" customHeight="false" outlineLevel="0" collapsed="false">
      <c r="B257" s="119" t="e">
        <f aca="false">IF(F257=MIN(F$124:F$324),1,0)</f>
        <v>#VALUE!</v>
      </c>
      <c r="C257" s="119" t="n">
        <v>133</v>
      </c>
      <c r="D257" s="119" t="n">
        <v>2060</v>
      </c>
      <c r="E257" s="119" t="n">
        <f aca="false">2*D257</f>
        <v>4120</v>
      </c>
      <c r="F257" s="119" t="e">
        <f aca="false">ABS(B$122-E257)</f>
        <v>#VALUE!</v>
      </c>
    </row>
    <row r="258" customFormat="false" ht="12.75" hidden="true" customHeight="false" outlineLevel="0" collapsed="false">
      <c r="B258" s="119" t="e">
        <f aca="false">IF(F258=MIN(F$124:F$324),1,0)</f>
        <v>#VALUE!</v>
      </c>
      <c r="C258" s="119" t="n">
        <v>134</v>
      </c>
      <c r="D258" s="119" t="n">
        <v>2120</v>
      </c>
      <c r="E258" s="119" t="n">
        <f aca="false">2*D258</f>
        <v>4240</v>
      </c>
      <c r="F258" s="119" t="e">
        <f aca="false">ABS(B$122-E258)</f>
        <v>#VALUE!</v>
      </c>
    </row>
    <row r="259" customFormat="false" ht="12.75" hidden="true" customHeight="false" outlineLevel="0" collapsed="false">
      <c r="B259" s="119" t="e">
        <f aca="false">IF(F259=MIN(F$124:F$324),1,0)</f>
        <v>#VALUE!</v>
      </c>
      <c r="C259" s="119" t="n">
        <v>135</v>
      </c>
      <c r="D259" s="119" t="n">
        <v>2180</v>
      </c>
      <c r="E259" s="119" t="n">
        <f aca="false">2*D259</f>
        <v>4360</v>
      </c>
      <c r="F259" s="119" t="e">
        <f aca="false">ABS(B$122-E259)</f>
        <v>#VALUE!</v>
      </c>
    </row>
    <row r="260" customFormat="false" ht="12.75" hidden="true" customHeight="false" outlineLevel="0" collapsed="false">
      <c r="B260" s="119" t="e">
        <f aca="false">IF(F260=MIN(F$124:F$324),1,0)</f>
        <v>#VALUE!</v>
      </c>
      <c r="C260" s="119" t="n">
        <v>136</v>
      </c>
      <c r="D260" s="119" t="n">
        <v>2240</v>
      </c>
      <c r="E260" s="119" t="n">
        <f aca="false">2*D260</f>
        <v>4480</v>
      </c>
      <c r="F260" s="119" t="e">
        <f aca="false">ABS(B$122-E260)</f>
        <v>#VALUE!</v>
      </c>
    </row>
    <row r="261" customFormat="false" ht="12.75" hidden="true" customHeight="false" outlineLevel="0" collapsed="false">
      <c r="B261" s="119" t="e">
        <f aca="false">IF(F261=MIN(F$124:F$324),1,0)</f>
        <v>#VALUE!</v>
      </c>
      <c r="C261" s="119" t="n">
        <v>137</v>
      </c>
      <c r="D261" s="119" t="n">
        <v>2300</v>
      </c>
      <c r="E261" s="119" t="n">
        <f aca="false">2*D261</f>
        <v>4600</v>
      </c>
      <c r="F261" s="119" t="e">
        <f aca="false">ABS(B$122-E261)</f>
        <v>#VALUE!</v>
      </c>
    </row>
    <row r="262" customFormat="false" ht="12.75" hidden="true" customHeight="false" outlineLevel="0" collapsed="false">
      <c r="B262" s="119" t="e">
        <f aca="false">IF(F262=MIN(F$124:F$324),1,0)</f>
        <v>#VALUE!</v>
      </c>
      <c r="C262" s="119" t="n">
        <v>138</v>
      </c>
      <c r="D262" s="119" t="n">
        <v>2360</v>
      </c>
      <c r="E262" s="119" t="n">
        <f aca="false">2*D262</f>
        <v>4720</v>
      </c>
      <c r="F262" s="119" t="e">
        <f aca="false">ABS(B$122-E262)</f>
        <v>#VALUE!</v>
      </c>
    </row>
    <row r="263" customFormat="false" ht="12.75" hidden="true" customHeight="false" outlineLevel="0" collapsed="false">
      <c r="B263" s="119" t="e">
        <f aca="false">IF(F263=MIN(F$124:F$324),1,0)</f>
        <v>#VALUE!</v>
      </c>
      <c r="C263" s="119" t="n">
        <v>139</v>
      </c>
      <c r="D263" s="119" t="n">
        <v>2430</v>
      </c>
      <c r="E263" s="119" t="n">
        <f aca="false">2*D263</f>
        <v>4860</v>
      </c>
      <c r="F263" s="119" t="e">
        <f aca="false">ABS(B$122-E263)</f>
        <v>#VALUE!</v>
      </c>
    </row>
    <row r="264" customFormat="false" ht="12.75" hidden="true" customHeight="false" outlineLevel="0" collapsed="false">
      <c r="B264" s="119" t="e">
        <f aca="false">IF(F264=MIN(F$124:F$324),1,0)</f>
        <v>#VALUE!</v>
      </c>
      <c r="C264" s="119" t="n">
        <v>140</v>
      </c>
      <c r="D264" s="119" t="n">
        <v>2500</v>
      </c>
      <c r="E264" s="119" t="n">
        <f aca="false">2*D264</f>
        <v>5000</v>
      </c>
      <c r="F264" s="119" t="e">
        <f aca="false">ABS(B$122-E264)</f>
        <v>#VALUE!</v>
      </c>
    </row>
    <row r="265" customFormat="false" ht="12.75" hidden="true" customHeight="false" outlineLevel="0" collapsed="false">
      <c r="B265" s="119" t="e">
        <f aca="false">IF(F265=MIN(F$124:F$324),1,0)</f>
        <v>#VALUE!</v>
      </c>
      <c r="C265" s="119" t="n">
        <v>141</v>
      </c>
      <c r="D265" s="119" t="n">
        <v>2575</v>
      </c>
      <c r="E265" s="119" t="n">
        <f aca="false">2*D265</f>
        <v>5150</v>
      </c>
      <c r="F265" s="119" t="e">
        <f aca="false">ABS(B$122-E265)</f>
        <v>#VALUE!</v>
      </c>
    </row>
    <row r="266" customFormat="false" ht="12.75" hidden="true" customHeight="false" outlineLevel="0" collapsed="false">
      <c r="B266" s="119" t="e">
        <f aca="false">IF(F266=MIN(F$124:F$324),1,0)</f>
        <v>#VALUE!</v>
      </c>
      <c r="C266" s="119" t="n">
        <v>142</v>
      </c>
      <c r="D266" s="119" t="n">
        <v>2650</v>
      </c>
      <c r="E266" s="119" t="n">
        <f aca="false">2*D266</f>
        <v>5300</v>
      </c>
      <c r="F266" s="119" t="e">
        <f aca="false">ABS(B$122-E266)</f>
        <v>#VALUE!</v>
      </c>
    </row>
    <row r="267" customFormat="false" ht="12.75" hidden="true" customHeight="false" outlineLevel="0" collapsed="false">
      <c r="B267" s="119" t="e">
        <f aca="false">IF(F267=MIN(F$124:F$324),1,0)</f>
        <v>#VALUE!</v>
      </c>
      <c r="C267" s="119" t="n">
        <v>143</v>
      </c>
      <c r="D267" s="119" t="n">
        <v>2725</v>
      </c>
      <c r="E267" s="119" t="n">
        <f aca="false">2*D267</f>
        <v>5450</v>
      </c>
      <c r="F267" s="119" t="e">
        <f aca="false">ABS(B$122-E267)</f>
        <v>#VALUE!</v>
      </c>
    </row>
    <row r="268" customFormat="false" ht="12.75" hidden="true" customHeight="false" outlineLevel="0" collapsed="false">
      <c r="B268" s="119" t="e">
        <f aca="false">IF(F268=MIN(F$124:F$324),1,0)</f>
        <v>#VALUE!</v>
      </c>
      <c r="C268" s="119" t="n">
        <v>144</v>
      </c>
      <c r="D268" s="119" t="n">
        <v>2800</v>
      </c>
      <c r="E268" s="119" t="n">
        <f aca="false">2*D268</f>
        <v>5600</v>
      </c>
      <c r="F268" s="119" t="e">
        <f aca="false">ABS(B$122-E268)</f>
        <v>#VALUE!</v>
      </c>
    </row>
    <row r="269" customFormat="false" ht="12.75" hidden="true" customHeight="false" outlineLevel="0" collapsed="false">
      <c r="B269" s="119" t="e">
        <f aca="false">IF(F269=MIN(F$124:F$324),1,0)</f>
        <v>#VALUE!</v>
      </c>
      <c r="C269" s="119" t="n">
        <v>145</v>
      </c>
      <c r="D269" s="119" t="n">
        <v>2900</v>
      </c>
      <c r="E269" s="119" t="n">
        <f aca="false">2*D269</f>
        <v>5800</v>
      </c>
      <c r="F269" s="119" t="e">
        <f aca="false">ABS(B$122-E269)</f>
        <v>#VALUE!</v>
      </c>
    </row>
    <row r="270" customFormat="false" ht="12.75" hidden="true" customHeight="false" outlineLevel="0" collapsed="false">
      <c r="B270" s="119" t="e">
        <f aca="false">IF(F270=MIN(F$124:F$324),1,0)</f>
        <v>#VALUE!</v>
      </c>
      <c r="C270" s="119" t="n">
        <v>146</v>
      </c>
      <c r="D270" s="119" t="n">
        <v>3000</v>
      </c>
      <c r="E270" s="119" t="n">
        <f aca="false">2*D270</f>
        <v>6000</v>
      </c>
      <c r="F270" s="119" t="e">
        <f aca="false">ABS(B$122-E270)</f>
        <v>#VALUE!</v>
      </c>
    </row>
    <row r="271" customFormat="false" ht="12.75" hidden="true" customHeight="false" outlineLevel="0" collapsed="false">
      <c r="B271" s="119" t="e">
        <f aca="false">IF(F271=MIN(F$124:F$324),1,0)</f>
        <v>#VALUE!</v>
      </c>
      <c r="C271" s="119" t="n">
        <v>147</v>
      </c>
      <c r="D271" s="119" t="n">
        <v>3075</v>
      </c>
      <c r="E271" s="119" t="n">
        <f aca="false">2*D271</f>
        <v>6150</v>
      </c>
      <c r="F271" s="119" t="e">
        <f aca="false">ABS(B$122-E271)</f>
        <v>#VALUE!</v>
      </c>
    </row>
    <row r="272" customFormat="false" ht="12.75" hidden="true" customHeight="false" outlineLevel="0" collapsed="false">
      <c r="B272" s="119" t="e">
        <f aca="false">IF(F272=MIN(F$124:F$324),1,0)</f>
        <v>#VALUE!</v>
      </c>
      <c r="C272" s="119" t="n">
        <v>148</v>
      </c>
      <c r="D272" s="119" t="n">
        <v>3150</v>
      </c>
      <c r="E272" s="119" t="n">
        <f aca="false">2*D272</f>
        <v>6300</v>
      </c>
      <c r="F272" s="119" t="e">
        <f aca="false">ABS(B$122-E272)</f>
        <v>#VALUE!</v>
      </c>
    </row>
    <row r="273" customFormat="false" ht="12.75" hidden="true" customHeight="false" outlineLevel="0" collapsed="false">
      <c r="B273" s="119" t="e">
        <f aca="false">IF(F273=MIN(F$124:F$324),1,0)</f>
        <v>#VALUE!</v>
      </c>
      <c r="C273" s="119" t="n">
        <v>149</v>
      </c>
      <c r="D273" s="119" t="n">
        <v>3250</v>
      </c>
      <c r="E273" s="119" t="n">
        <f aca="false">2*D273</f>
        <v>6500</v>
      </c>
      <c r="F273" s="119" t="e">
        <f aca="false">ABS(B$122-E273)</f>
        <v>#VALUE!</v>
      </c>
    </row>
    <row r="274" customFormat="false" ht="12.75" hidden="true" customHeight="false" outlineLevel="0" collapsed="false">
      <c r="B274" s="119" t="e">
        <f aca="false">IF(F274=MIN(F$124:F$324),1,0)</f>
        <v>#VALUE!</v>
      </c>
      <c r="C274" s="119" t="n">
        <v>150</v>
      </c>
      <c r="D274" s="119" t="n">
        <v>3350</v>
      </c>
      <c r="E274" s="119" t="n">
        <f aca="false">2*D274</f>
        <v>6700</v>
      </c>
      <c r="F274" s="119" t="e">
        <f aca="false">ABS(B$122-E274)</f>
        <v>#VALUE!</v>
      </c>
    </row>
    <row r="275" customFormat="false" ht="12.75" hidden="true" customHeight="false" outlineLevel="0" collapsed="false">
      <c r="B275" s="119" t="e">
        <f aca="false">IF(F275=MIN(F$124:F$324),1,0)</f>
        <v>#VALUE!</v>
      </c>
      <c r="C275" s="119" t="n">
        <v>151</v>
      </c>
      <c r="D275" s="119" t="n">
        <v>3450</v>
      </c>
      <c r="E275" s="119" t="n">
        <f aca="false">2*D275</f>
        <v>6900</v>
      </c>
      <c r="F275" s="119" t="e">
        <f aca="false">ABS(B$122-E275)</f>
        <v>#VALUE!</v>
      </c>
    </row>
    <row r="276" customFormat="false" ht="12.75" hidden="true" customHeight="false" outlineLevel="0" collapsed="false">
      <c r="B276" s="119" t="e">
        <f aca="false">IF(F276=MIN(F$124:F$324),1,0)</f>
        <v>#VALUE!</v>
      </c>
      <c r="C276" s="119" t="n">
        <v>152</v>
      </c>
      <c r="D276" s="119" t="n">
        <v>3550</v>
      </c>
      <c r="E276" s="119" t="n">
        <f aca="false">2*D276</f>
        <v>7100</v>
      </c>
      <c r="F276" s="119" t="e">
        <f aca="false">ABS(B$122-E276)</f>
        <v>#VALUE!</v>
      </c>
    </row>
    <row r="277" customFormat="false" ht="12.75" hidden="true" customHeight="false" outlineLevel="0" collapsed="false">
      <c r="B277" s="119" t="e">
        <f aca="false">IF(F277=MIN(F$124:F$324),1,0)</f>
        <v>#VALUE!</v>
      </c>
      <c r="C277" s="119" t="n">
        <v>153</v>
      </c>
      <c r="D277" s="119" t="n">
        <v>3650</v>
      </c>
      <c r="E277" s="119" t="n">
        <f aca="false">2*D277</f>
        <v>7300</v>
      </c>
      <c r="F277" s="119" t="e">
        <f aca="false">ABS(B$122-E277)</f>
        <v>#VALUE!</v>
      </c>
    </row>
    <row r="278" customFormat="false" ht="12.75" hidden="true" customHeight="false" outlineLevel="0" collapsed="false">
      <c r="B278" s="119" t="e">
        <f aca="false">IF(F278=MIN(F$124:F$324),1,0)</f>
        <v>#VALUE!</v>
      </c>
      <c r="C278" s="119" t="n">
        <v>154</v>
      </c>
      <c r="D278" s="119" t="n">
        <v>3750</v>
      </c>
      <c r="E278" s="119" t="n">
        <f aca="false">2*D278</f>
        <v>7500</v>
      </c>
      <c r="F278" s="119" t="e">
        <f aca="false">ABS(B$122-E278)</f>
        <v>#VALUE!</v>
      </c>
    </row>
    <row r="279" customFormat="false" ht="12.75" hidden="true" customHeight="false" outlineLevel="0" collapsed="false">
      <c r="B279" s="119" t="e">
        <f aca="false">IF(F279=MIN(F$124:F$324),1,0)</f>
        <v>#VALUE!</v>
      </c>
      <c r="C279" s="119" t="n">
        <v>155</v>
      </c>
      <c r="D279" s="119" t="n">
        <v>3875</v>
      </c>
      <c r="E279" s="119" t="n">
        <f aca="false">2*D279</f>
        <v>7750</v>
      </c>
      <c r="F279" s="119" t="e">
        <f aca="false">ABS(B$122-E279)</f>
        <v>#VALUE!</v>
      </c>
    </row>
    <row r="280" customFormat="false" ht="12.75" hidden="true" customHeight="false" outlineLevel="0" collapsed="false">
      <c r="B280" s="119" t="e">
        <f aca="false">IF(F280=MIN(F$124:F$324),1,0)</f>
        <v>#VALUE!</v>
      </c>
      <c r="C280" s="119" t="n">
        <v>156</v>
      </c>
      <c r="D280" s="119" t="n">
        <v>4000</v>
      </c>
      <c r="E280" s="119" t="n">
        <f aca="false">2*D280</f>
        <v>8000</v>
      </c>
      <c r="F280" s="119" t="e">
        <f aca="false">ABS(B$122-E280)</f>
        <v>#VALUE!</v>
      </c>
    </row>
    <row r="281" customFormat="false" ht="12.75" hidden="true" customHeight="false" outlineLevel="0" collapsed="false">
      <c r="B281" s="119" t="e">
        <f aca="false">IF(F281=MIN(F$124:F$324),1,0)</f>
        <v>#VALUE!</v>
      </c>
      <c r="C281" s="119" t="n">
        <v>157</v>
      </c>
      <c r="D281" s="119" t="n">
        <v>4125</v>
      </c>
      <c r="E281" s="119" t="n">
        <f aca="false">2*D281</f>
        <v>8250</v>
      </c>
      <c r="F281" s="119" t="e">
        <f aca="false">ABS(B$122-E281)</f>
        <v>#VALUE!</v>
      </c>
    </row>
    <row r="282" customFormat="false" ht="12.75" hidden="true" customHeight="false" outlineLevel="0" collapsed="false">
      <c r="B282" s="119" t="e">
        <f aca="false">IF(F282=MIN(F$124:F$324),1,0)</f>
        <v>#VALUE!</v>
      </c>
      <c r="C282" s="119" t="n">
        <v>158</v>
      </c>
      <c r="D282" s="119" t="n">
        <v>4250</v>
      </c>
      <c r="E282" s="119" t="n">
        <f aca="false">2*D282</f>
        <v>8500</v>
      </c>
      <c r="F282" s="119" t="e">
        <f aca="false">ABS(B$122-E282)</f>
        <v>#VALUE!</v>
      </c>
    </row>
    <row r="283" customFormat="false" ht="12.75" hidden="true" customHeight="false" outlineLevel="0" collapsed="false">
      <c r="B283" s="119" t="e">
        <f aca="false">IF(F283=MIN(F$124:F$324),1,0)</f>
        <v>#VALUE!</v>
      </c>
      <c r="C283" s="119" t="n">
        <v>159</v>
      </c>
      <c r="D283" s="119" t="n">
        <v>4375</v>
      </c>
      <c r="E283" s="119" t="n">
        <f aca="false">2*D283</f>
        <v>8750</v>
      </c>
      <c r="F283" s="119" t="e">
        <f aca="false">ABS(B$122-E283)</f>
        <v>#VALUE!</v>
      </c>
    </row>
    <row r="284" customFormat="false" ht="12.75" hidden="true" customHeight="false" outlineLevel="0" collapsed="false">
      <c r="B284" s="119" t="e">
        <f aca="false">IF(F284=MIN(F$124:F$324),1,0)</f>
        <v>#VALUE!</v>
      </c>
      <c r="C284" s="119" t="n">
        <v>160</v>
      </c>
      <c r="D284" s="119" t="n">
        <v>4500</v>
      </c>
      <c r="E284" s="119" t="n">
        <f aca="false">2*D284</f>
        <v>9000</v>
      </c>
      <c r="F284" s="119" t="e">
        <f aca="false">ABS(B$122-E284)</f>
        <v>#VALUE!</v>
      </c>
    </row>
    <row r="285" customFormat="false" ht="12.75" hidden="true" customHeight="false" outlineLevel="0" collapsed="false">
      <c r="B285" s="119" t="e">
        <f aca="false">IF(F285=MIN(F$124:F$324),1,0)</f>
        <v>#VALUE!</v>
      </c>
      <c r="C285" s="119" t="n">
        <v>161</v>
      </c>
      <c r="D285" s="119" t="n">
        <v>4625</v>
      </c>
      <c r="E285" s="119" t="n">
        <f aca="false">2*D285</f>
        <v>9250</v>
      </c>
      <c r="F285" s="119" t="e">
        <f aca="false">ABS(B$122-E285)</f>
        <v>#VALUE!</v>
      </c>
    </row>
    <row r="286" customFormat="false" ht="12.75" hidden="true" customHeight="false" outlineLevel="0" collapsed="false">
      <c r="B286" s="119" t="e">
        <f aca="false">IF(F286=MIN(F$124:F$324),1,0)</f>
        <v>#VALUE!</v>
      </c>
      <c r="C286" s="119" t="n">
        <v>162</v>
      </c>
      <c r="D286" s="119" t="n">
        <v>4750</v>
      </c>
      <c r="E286" s="119" t="n">
        <f aca="false">2*D286</f>
        <v>9500</v>
      </c>
      <c r="F286" s="119" t="e">
        <f aca="false">ABS(B$122-E286)</f>
        <v>#VALUE!</v>
      </c>
    </row>
    <row r="287" customFormat="false" ht="12.75" hidden="true" customHeight="false" outlineLevel="0" collapsed="false">
      <c r="B287" s="119" t="e">
        <f aca="false">IF(F287=MIN(F$124:F$324),1,0)</f>
        <v>#VALUE!</v>
      </c>
      <c r="C287" s="119" t="n">
        <v>163</v>
      </c>
      <c r="D287" s="119" t="n">
        <v>4875</v>
      </c>
      <c r="E287" s="119" t="n">
        <f aca="false">2*D287</f>
        <v>9750</v>
      </c>
      <c r="F287" s="119" t="e">
        <f aca="false">ABS(B$122-E287)</f>
        <v>#VALUE!</v>
      </c>
    </row>
    <row r="288" customFormat="false" ht="12.75" hidden="true" customHeight="false" outlineLevel="0" collapsed="false">
      <c r="B288" s="119" t="e">
        <f aca="false">IF(F288=MIN(F$124:F$324),1,0)</f>
        <v>#VALUE!</v>
      </c>
      <c r="C288" s="119" t="n">
        <v>164</v>
      </c>
      <c r="D288" s="119" t="n">
        <v>5000</v>
      </c>
      <c r="E288" s="119" t="n">
        <f aca="false">2*D288</f>
        <v>10000</v>
      </c>
      <c r="F288" s="119" t="e">
        <f aca="false">ABS(B$122-E288)</f>
        <v>#VALUE!</v>
      </c>
    </row>
    <row r="289" customFormat="false" ht="12.75" hidden="true" customHeight="false" outlineLevel="0" collapsed="false">
      <c r="B289" s="119" t="e">
        <f aca="false">IF(F289=MIN(F$124:F$324),1,0)</f>
        <v>#VALUE!</v>
      </c>
      <c r="C289" s="119" t="n">
        <v>165</v>
      </c>
      <c r="D289" s="119" t="n">
        <v>5150</v>
      </c>
      <c r="E289" s="119" t="n">
        <f aca="false">2*D289</f>
        <v>10300</v>
      </c>
      <c r="F289" s="119" t="e">
        <f aca="false">ABS(B$122-E289)</f>
        <v>#VALUE!</v>
      </c>
    </row>
    <row r="290" customFormat="false" ht="12.75" hidden="true" customHeight="false" outlineLevel="0" collapsed="false">
      <c r="B290" s="119" t="e">
        <f aca="false">IF(F290=MIN(F$124:F$324),1,0)</f>
        <v>#VALUE!</v>
      </c>
      <c r="C290" s="119" t="n">
        <v>166</v>
      </c>
      <c r="D290" s="119" t="n">
        <v>5300</v>
      </c>
      <c r="E290" s="119" t="n">
        <f aca="false">2*D290</f>
        <v>10600</v>
      </c>
      <c r="F290" s="119" t="e">
        <f aca="false">ABS(B$122-E290)</f>
        <v>#VALUE!</v>
      </c>
    </row>
    <row r="291" customFormat="false" ht="12.75" hidden="true" customHeight="false" outlineLevel="0" collapsed="false">
      <c r="B291" s="119" t="e">
        <f aca="false">IF(F291=MIN(F$124:F$324),1,0)</f>
        <v>#VALUE!</v>
      </c>
      <c r="C291" s="119" t="n">
        <v>167</v>
      </c>
      <c r="D291" s="119" t="n">
        <v>5450</v>
      </c>
      <c r="E291" s="119" t="n">
        <f aca="false">2*D291</f>
        <v>10900</v>
      </c>
      <c r="F291" s="119" t="e">
        <f aca="false">ABS(B$122-E291)</f>
        <v>#VALUE!</v>
      </c>
    </row>
    <row r="292" customFormat="false" ht="12.75" hidden="true" customHeight="false" outlineLevel="0" collapsed="false">
      <c r="B292" s="119" t="e">
        <f aca="false">IF(F292=MIN(F$124:F$324),1,0)</f>
        <v>#VALUE!</v>
      </c>
      <c r="C292" s="119" t="n">
        <v>168</v>
      </c>
      <c r="D292" s="119" t="n">
        <v>5600</v>
      </c>
      <c r="E292" s="119" t="n">
        <f aca="false">2*D292</f>
        <v>11200</v>
      </c>
      <c r="F292" s="119" t="e">
        <f aca="false">ABS(B$122-E292)</f>
        <v>#VALUE!</v>
      </c>
    </row>
    <row r="293" customFormat="false" ht="12.75" hidden="true" customHeight="false" outlineLevel="0" collapsed="false">
      <c r="B293" s="119" t="e">
        <f aca="false">IF(F293=MIN(F$124:F$324),1,0)</f>
        <v>#VALUE!</v>
      </c>
      <c r="C293" s="119" t="n">
        <v>169</v>
      </c>
      <c r="D293" s="119" t="n">
        <v>5800</v>
      </c>
      <c r="E293" s="119" t="n">
        <f aca="false">2*D293</f>
        <v>11600</v>
      </c>
      <c r="F293" s="119" t="e">
        <f aca="false">ABS(B$122-E293)</f>
        <v>#VALUE!</v>
      </c>
    </row>
    <row r="294" customFormat="false" ht="12.75" hidden="true" customHeight="false" outlineLevel="0" collapsed="false">
      <c r="B294" s="119" t="e">
        <f aca="false">IF(F294=MIN(F$124:F$324),1,0)</f>
        <v>#VALUE!</v>
      </c>
      <c r="C294" s="119" t="n">
        <v>170</v>
      </c>
      <c r="D294" s="119" t="n">
        <v>6000</v>
      </c>
      <c r="E294" s="119" t="n">
        <f aca="false">2*D294</f>
        <v>12000</v>
      </c>
      <c r="F294" s="119" t="e">
        <f aca="false">ABS(B$122-E294)</f>
        <v>#VALUE!</v>
      </c>
    </row>
    <row r="295" customFormat="false" ht="12.75" hidden="true" customHeight="false" outlineLevel="0" collapsed="false">
      <c r="B295" s="119" t="e">
        <f aca="false">IF(F295=MIN(F$124:F$324),1,0)</f>
        <v>#VALUE!</v>
      </c>
      <c r="C295" s="119" t="n">
        <v>171</v>
      </c>
      <c r="D295" s="119" t="n">
        <v>6150</v>
      </c>
      <c r="E295" s="119" t="n">
        <f aca="false">2*D295</f>
        <v>12300</v>
      </c>
      <c r="F295" s="119" t="e">
        <f aca="false">ABS(B$122-E295)</f>
        <v>#VALUE!</v>
      </c>
    </row>
    <row r="296" customFormat="false" ht="12.75" hidden="true" customHeight="false" outlineLevel="0" collapsed="false">
      <c r="B296" s="119" t="e">
        <f aca="false">IF(F296=MIN(F$124:F$324),1,0)</f>
        <v>#VALUE!</v>
      </c>
      <c r="C296" s="119" t="n">
        <v>172</v>
      </c>
      <c r="D296" s="119" t="n">
        <v>6300</v>
      </c>
      <c r="E296" s="119" t="n">
        <f aca="false">2*D296</f>
        <v>12600</v>
      </c>
      <c r="F296" s="119" t="e">
        <f aca="false">ABS(B$122-E296)</f>
        <v>#VALUE!</v>
      </c>
    </row>
    <row r="297" customFormat="false" ht="12.75" hidden="true" customHeight="false" outlineLevel="0" collapsed="false">
      <c r="B297" s="119" t="e">
        <f aca="false">IF(F297=MIN(F$124:F$324),1,0)</f>
        <v>#VALUE!</v>
      </c>
      <c r="C297" s="119" t="n">
        <v>173</v>
      </c>
      <c r="D297" s="119" t="n">
        <v>6500</v>
      </c>
      <c r="E297" s="119" t="n">
        <f aca="false">2*D297</f>
        <v>13000</v>
      </c>
      <c r="F297" s="119" t="e">
        <f aca="false">ABS(B$122-E297)</f>
        <v>#VALUE!</v>
      </c>
    </row>
    <row r="298" customFormat="false" ht="12.75" hidden="true" customHeight="false" outlineLevel="0" collapsed="false">
      <c r="B298" s="119" t="e">
        <f aca="false">IF(F298=MIN(F$124:F$324),1,0)</f>
        <v>#VALUE!</v>
      </c>
      <c r="C298" s="119" t="n">
        <v>174</v>
      </c>
      <c r="D298" s="119" t="n">
        <v>6700</v>
      </c>
      <c r="E298" s="119" t="n">
        <f aca="false">2*D298</f>
        <v>13400</v>
      </c>
      <c r="F298" s="119" t="e">
        <f aca="false">ABS(B$122-E298)</f>
        <v>#VALUE!</v>
      </c>
    </row>
    <row r="299" customFormat="false" ht="12.75" hidden="true" customHeight="false" outlineLevel="0" collapsed="false">
      <c r="B299" s="119" t="e">
        <f aca="false">IF(F299=MIN(F$124:F$324),1,0)</f>
        <v>#VALUE!</v>
      </c>
      <c r="C299" s="119" t="n">
        <v>175</v>
      </c>
      <c r="D299" s="119" t="n">
        <v>6900</v>
      </c>
      <c r="E299" s="119" t="n">
        <f aca="false">2*D299</f>
        <v>13800</v>
      </c>
      <c r="F299" s="119" t="e">
        <f aca="false">ABS(B$122-E299)</f>
        <v>#VALUE!</v>
      </c>
    </row>
    <row r="300" customFormat="false" ht="12.75" hidden="true" customHeight="false" outlineLevel="0" collapsed="false">
      <c r="B300" s="119" t="e">
        <f aca="false">IF(F300=MIN(F$124:F$324),1,0)</f>
        <v>#VALUE!</v>
      </c>
      <c r="C300" s="119" t="n">
        <v>176</v>
      </c>
      <c r="D300" s="119" t="n">
        <v>7100</v>
      </c>
      <c r="E300" s="119" t="n">
        <f aca="false">2*D300</f>
        <v>14200</v>
      </c>
      <c r="F300" s="119" t="e">
        <f aca="false">ABS(B$122-E300)</f>
        <v>#VALUE!</v>
      </c>
    </row>
    <row r="301" customFormat="false" ht="12.75" hidden="true" customHeight="false" outlineLevel="0" collapsed="false">
      <c r="B301" s="119" t="e">
        <f aca="false">IF(F301=MIN(F$124:F$324),1,0)</f>
        <v>#VALUE!</v>
      </c>
      <c r="C301" s="119" t="n">
        <v>177</v>
      </c>
      <c r="D301" s="119" t="n">
        <v>7300</v>
      </c>
      <c r="E301" s="119" t="n">
        <f aca="false">2*D301</f>
        <v>14600</v>
      </c>
      <c r="F301" s="119" t="e">
        <f aca="false">ABS(B$122-E301)</f>
        <v>#VALUE!</v>
      </c>
    </row>
    <row r="302" customFormat="false" ht="12.75" hidden="true" customHeight="false" outlineLevel="0" collapsed="false">
      <c r="B302" s="119" t="e">
        <f aca="false">IF(F302=MIN(F$124:F$324),1,0)</f>
        <v>#VALUE!</v>
      </c>
      <c r="C302" s="119" t="n">
        <v>178</v>
      </c>
      <c r="D302" s="119" t="n">
        <v>7500</v>
      </c>
      <c r="E302" s="119" t="n">
        <f aca="false">2*D302</f>
        <v>15000</v>
      </c>
      <c r="F302" s="119" t="e">
        <f aca="false">ABS(B$122-E302)</f>
        <v>#VALUE!</v>
      </c>
    </row>
    <row r="303" customFormat="false" ht="12.75" hidden="true" customHeight="false" outlineLevel="0" collapsed="false">
      <c r="B303" s="119" t="e">
        <f aca="false">IF(F303=MIN(F$124:F$324),1,0)</f>
        <v>#VALUE!</v>
      </c>
      <c r="C303" s="119" t="n">
        <v>179</v>
      </c>
      <c r="D303" s="119" t="n">
        <v>7750</v>
      </c>
      <c r="E303" s="119" t="n">
        <f aca="false">2*D303</f>
        <v>15500</v>
      </c>
      <c r="F303" s="119" t="e">
        <f aca="false">ABS(B$122-E303)</f>
        <v>#VALUE!</v>
      </c>
    </row>
    <row r="304" customFormat="false" ht="12.75" hidden="true" customHeight="false" outlineLevel="0" collapsed="false">
      <c r="B304" s="119" t="e">
        <f aca="false">IF(F304=MIN(F$124:F$324),1,0)</f>
        <v>#VALUE!</v>
      </c>
      <c r="C304" s="119" t="n">
        <v>180</v>
      </c>
      <c r="D304" s="119" t="n">
        <v>8000</v>
      </c>
      <c r="E304" s="119" t="n">
        <f aca="false">2*D304</f>
        <v>16000</v>
      </c>
      <c r="F304" s="119" t="e">
        <f aca="false">ABS(B$122-E304)</f>
        <v>#VALUE!</v>
      </c>
    </row>
    <row r="305" customFormat="false" ht="12.75" hidden="true" customHeight="false" outlineLevel="0" collapsed="false">
      <c r="B305" s="119" t="e">
        <f aca="false">IF(F305=MIN(F$124:F$324),1,0)</f>
        <v>#VALUE!</v>
      </c>
      <c r="C305" s="119" t="n">
        <v>181</v>
      </c>
      <c r="D305" s="119" t="n">
        <v>8250</v>
      </c>
      <c r="E305" s="119" t="n">
        <f aca="false">2*D305</f>
        <v>16500</v>
      </c>
      <c r="F305" s="119" t="e">
        <f aca="false">ABS(B$122-E305)</f>
        <v>#VALUE!</v>
      </c>
    </row>
    <row r="306" customFormat="false" ht="12.75" hidden="true" customHeight="false" outlineLevel="0" collapsed="false">
      <c r="B306" s="119" t="e">
        <f aca="false">IF(F306=MIN(F$124:F$324),1,0)</f>
        <v>#VALUE!</v>
      </c>
      <c r="C306" s="119" t="n">
        <v>182</v>
      </c>
      <c r="D306" s="119" t="n">
        <v>8500</v>
      </c>
      <c r="E306" s="119" t="n">
        <f aca="false">2*D306</f>
        <v>17000</v>
      </c>
      <c r="F306" s="119" t="e">
        <f aca="false">ABS(B$122-E306)</f>
        <v>#VALUE!</v>
      </c>
    </row>
    <row r="307" customFormat="false" ht="12.75" hidden="true" customHeight="false" outlineLevel="0" collapsed="false">
      <c r="B307" s="119" t="e">
        <f aca="false">IF(F307=MIN(F$124:F$324),1,0)</f>
        <v>#VALUE!</v>
      </c>
      <c r="C307" s="119" t="n">
        <v>183</v>
      </c>
      <c r="D307" s="119" t="n">
        <v>8750</v>
      </c>
      <c r="E307" s="119" t="n">
        <f aca="false">2*D307</f>
        <v>17500</v>
      </c>
      <c r="F307" s="119" t="e">
        <f aca="false">ABS(B$122-E307)</f>
        <v>#VALUE!</v>
      </c>
    </row>
    <row r="308" customFormat="false" ht="12.75" hidden="true" customHeight="false" outlineLevel="0" collapsed="false">
      <c r="B308" s="119" t="e">
        <f aca="false">IF(F308=MIN(F$124:F$324),1,0)</f>
        <v>#VALUE!</v>
      </c>
      <c r="C308" s="119" t="n">
        <v>184</v>
      </c>
      <c r="D308" s="119" t="n">
        <v>9000</v>
      </c>
      <c r="E308" s="119" t="n">
        <f aca="false">2*D308</f>
        <v>18000</v>
      </c>
      <c r="F308" s="119" t="e">
        <f aca="false">ABS(B$122-E308)</f>
        <v>#VALUE!</v>
      </c>
    </row>
    <row r="309" customFormat="false" ht="12.75" hidden="true" customHeight="false" outlineLevel="0" collapsed="false">
      <c r="B309" s="119" t="e">
        <f aca="false">IF(F309=MIN(F$124:F$324),1,0)</f>
        <v>#VALUE!</v>
      </c>
      <c r="C309" s="119" t="n">
        <v>185</v>
      </c>
      <c r="D309" s="119" t="n">
        <v>9250</v>
      </c>
      <c r="E309" s="119" t="n">
        <f aca="false">2*D309</f>
        <v>18500</v>
      </c>
      <c r="F309" s="119" t="e">
        <f aca="false">ABS(B$122-E309)</f>
        <v>#VALUE!</v>
      </c>
    </row>
    <row r="310" customFormat="false" ht="12.75" hidden="true" customHeight="false" outlineLevel="0" collapsed="false">
      <c r="B310" s="119" t="e">
        <f aca="false">IF(F310=MIN(F$124:F$324),1,0)</f>
        <v>#VALUE!</v>
      </c>
      <c r="C310" s="119" t="n">
        <v>186</v>
      </c>
      <c r="D310" s="119" t="n">
        <v>9500</v>
      </c>
      <c r="E310" s="119" t="n">
        <f aca="false">2*D310</f>
        <v>19000</v>
      </c>
      <c r="F310" s="119" t="e">
        <f aca="false">ABS(B$122-E310)</f>
        <v>#VALUE!</v>
      </c>
    </row>
    <row r="311" customFormat="false" ht="12.75" hidden="true" customHeight="false" outlineLevel="0" collapsed="false">
      <c r="B311" s="119" t="e">
        <f aca="false">IF(F311=MIN(F$124:F$324),1,0)</f>
        <v>#VALUE!</v>
      </c>
      <c r="C311" s="119" t="n">
        <v>187</v>
      </c>
      <c r="D311" s="119" t="n">
        <v>9750</v>
      </c>
      <c r="E311" s="119" t="n">
        <f aca="false">2*D311</f>
        <v>19500</v>
      </c>
      <c r="F311" s="119" t="e">
        <f aca="false">ABS(B$122-E311)</f>
        <v>#VALUE!</v>
      </c>
    </row>
    <row r="312" customFormat="false" ht="12.75" hidden="true" customHeight="false" outlineLevel="0" collapsed="false">
      <c r="B312" s="119" t="e">
        <f aca="false">IF(F312=MIN(F$124:F$324),1,0)</f>
        <v>#VALUE!</v>
      </c>
      <c r="C312" s="119" t="n">
        <v>188</v>
      </c>
      <c r="D312" s="119" t="n">
        <v>10000</v>
      </c>
      <c r="E312" s="119" t="n">
        <f aca="false">2*D312</f>
        <v>20000</v>
      </c>
      <c r="F312" s="119" t="e">
        <f aca="false">ABS(B$122-E312)</f>
        <v>#VALUE!</v>
      </c>
    </row>
    <row r="313" customFormat="false" ht="12.75" hidden="true" customHeight="false" outlineLevel="0" collapsed="false">
      <c r="B313" s="119" t="e">
        <f aca="false">IF(F313=MIN(F$124:F$324),1,0)</f>
        <v>#VALUE!</v>
      </c>
      <c r="C313" s="119" t="n">
        <v>189</v>
      </c>
      <c r="D313" s="119" t="n">
        <v>10300</v>
      </c>
      <c r="E313" s="119" t="n">
        <f aca="false">2*D313</f>
        <v>20600</v>
      </c>
      <c r="F313" s="119" t="e">
        <f aca="false">ABS(B$122-E313)</f>
        <v>#VALUE!</v>
      </c>
    </row>
    <row r="314" customFormat="false" ht="12.75" hidden="true" customHeight="false" outlineLevel="0" collapsed="false">
      <c r="B314" s="119" t="e">
        <f aca="false">IF(F314=MIN(F$124:F$324),1,0)</f>
        <v>#VALUE!</v>
      </c>
      <c r="C314" s="119" t="n">
        <v>190</v>
      </c>
      <c r="D314" s="119" t="n">
        <v>10600</v>
      </c>
      <c r="E314" s="119" t="n">
        <f aca="false">2*D314</f>
        <v>21200</v>
      </c>
      <c r="F314" s="119" t="e">
        <f aca="false">ABS(B$122-E314)</f>
        <v>#VALUE!</v>
      </c>
    </row>
    <row r="315" customFormat="false" ht="12.75" hidden="true" customHeight="false" outlineLevel="0" collapsed="false">
      <c r="B315" s="119" t="e">
        <f aca="false">IF(F315=MIN(F$124:F$324),1,0)</f>
        <v>#VALUE!</v>
      </c>
      <c r="C315" s="119" t="n">
        <v>191</v>
      </c>
      <c r="D315" s="119" t="n">
        <v>10900</v>
      </c>
      <c r="E315" s="119" t="n">
        <f aca="false">2*D315</f>
        <v>21800</v>
      </c>
      <c r="F315" s="119" t="e">
        <f aca="false">ABS(B$122-E315)</f>
        <v>#VALUE!</v>
      </c>
    </row>
    <row r="316" customFormat="false" ht="12.75" hidden="true" customHeight="false" outlineLevel="0" collapsed="false">
      <c r="B316" s="119" t="e">
        <f aca="false">IF(F316=MIN(F$124:F$324),1,0)</f>
        <v>#VALUE!</v>
      </c>
      <c r="C316" s="119" t="n">
        <v>192</v>
      </c>
      <c r="D316" s="119" t="n">
        <v>11200</v>
      </c>
      <c r="E316" s="119" t="n">
        <f aca="false">2*D316</f>
        <v>22400</v>
      </c>
      <c r="F316" s="119" t="e">
        <f aca="false">ABS(B$122-E316)</f>
        <v>#VALUE!</v>
      </c>
    </row>
    <row r="317" customFormat="false" ht="12.75" hidden="true" customHeight="false" outlineLevel="0" collapsed="false">
      <c r="B317" s="119" t="e">
        <f aca="false">IF(F317=MIN(F$124:F$324),1,0)</f>
        <v>#VALUE!</v>
      </c>
      <c r="C317" s="119" t="n">
        <v>193</v>
      </c>
      <c r="D317" s="119" t="n">
        <v>11500</v>
      </c>
      <c r="E317" s="119" t="n">
        <f aca="false">2*D317</f>
        <v>23000</v>
      </c>
      <c r="F317" s="119" t="e">
        <f aca="false">ABS(B$122-E317)</f>
        <v>#VALUE!</v>
      </c>
    </row>
    <row r="318" customFormat="false" ht="12.75" hidden="true" customHeight="false" outlineLevel="0" collapsed="false">
      <c r="B318" s="119" t="e">
        <f aca="false">IF(F318=MIN(F$124:F$324),1,0)</f>
        <v>#VALUE!</v>
      </c>
      <c r="C318" s="119" t="n">
        <v>194</v>
      </c>
      <c r="D318" s="119" t="n">
        <v>11800</v>
      </c>
      <c r="E318" s="119" t="n">
        <f aca="false">2*D318</f>
        <v>23600</v>
      </c>
      <c r="F318" s="119" t="e">
        <f aca="false">ABS(B$122-E318)</f>
        <v>#VALUE!</v>
      </c>
    </row>
    <row r="319" customFormat="false" ht="12.75" hidden="true" customHeight="false" outlineLevel="0" collapsed="false">
      <c r="B319" s="119" t="e">
        <f aca="false">IF(F319=MIN(F$124:F$324),1,0)</f>
        <v>#VALUE!</v>
      </c>
      <c r="C319" s="119" t="n">
        <v>195</v>
      </c>
      <c r="D319" s="119" t="n">
        <v>12150</v>
      </c>
      <c r="E319" s="119" t="n">
        <f aca="false">2*D319</f>
        <v>24300</v>
      </c>
      <c r="F319" s="119" t="e">
        <f aca="false">ABS(B$122-E319)</f>
        <v>#VALUE!</v>
      </c>
    </row>
    <row r="320" customFormat="false" ht="12.75" hidden="true" customHeight="false" outlineLevel="0" collapsed="false">
      <c r="B320" s="119" t="e">
        <f aca="false">IF(F320=MIN(F$124:F$324),1,0)</f>
        <v>#VALUE!</v>
      </c>
      <c r="C320" s="119" t="n">
        <v>196</v>
      </c>
      <c r="D320" s="119" t="n">
        <v>12500</v>
      </c>
      <c r="E320" s="119" t="n">
        <f aca="false">2*D320</f>
        <v>25000</v>
      </c>
      <c r="F320" s="119" t="e">
        <f aca="false">ABS(B$122-E320)</f>
        <v>#VALUE!</v>
      </c>
    </row>
    <row r="321" customFormat="false" ht="12.75" hidden="true" customHeight="false" outlineLevel="0" collapsed="false">
      <c r="B321" s="119" t="e">
        <f aca="false">IF(F321=MIN(F$124:F$324),1,0)</f>
        <v>#VALUE!</v>
      </c>
      <c r="C321" s="119" t="n">
        <v>197</v>
      </c>
      <c r="D321" s="119" t="n">
        <v>12850</v>
      </c>
      <c r="E321" s="119" t="n">
        <f aca="false">2*D321</f>
        <v>25700</v>
      </c>
      <c r="F321" s="119" t="e">
        <f aca="false">ABS(B$122-E321)</f>
        <v>#VALUE!</v>
      </c>
    </row>
    <row r="322" customFormat="false" ht="12.75" hidden="true" customHeight="false" outlineLevel="0" collapsed="false">
      <c r="B322" s="119" t="e">
        <f aca="false">IF(F322=MIN(F$124:F$324),1,0)</f>
        <v>#VALUE!</v>
      </c>
      <c r="C322" s="119" t="n">
        <v>198</v>
      </c>
      <c r="D322" s="119" t="n">
        <v>13200</v>
      </c>
      <c r="E322" s="119" t="n">
        <f aca="false">2*D322</f>
        <v>26400</v>
      </c>
      <c r="F322" s="119" t="e">
        <f aca="false">ABS(B$122-E322)</f>
        <v>#VALUE!</v>
      </c>
    </row>
    <row r="323" customFormat="false" ht="12.75" hidden="true" customHeight="false" outlineLevel="0" collapsed="false">
      <c r="B323" s="119" t="e">
        <f aca="false">IF(F323=MIN(F$124:F$324),1,0)</f>
        <v>#VALUE!</v>
      </c>
      <c r="C323" s="119" t="n">
        <v>199</v>
      </c>
      <c r="D323" s="119" t="n">
        <v>13600</v>
      </c>
      <c r="E323" s="119" t="n">
        <f aca="false">2*D323</f>
        <v>27200</v>
      </c>
      <c r="F323" s="119" t="e">
        <f aca="false">ABS(B$122-E323)</f>
        <v>#VALUE!</v>
      </c>
    </row>
    <row r="324" customFormat="false" ht="12.75" hidden="true" customHeight="false" outlineLevel="0" collapsed="false">
      <c r="B324" s="119" t="e">
        <f aca="false">IF(F324=MIN(F$124:F$324),1,0)</f>
        <v>#VALUE!</v>
      </c>
      <c r="C324" s="119" t="n">
        <v>200</v>
      </c>
      <c r="D324" s="119" t="n">
        <v>14000</v>
      </c>
      <c r="E324" s="119" t="n">
        <f aca="false">2*D324</f>
        <v>28000</v>
      </c>
      <c r="F324" s="119" t="e">
        <f aca="false">ABS(B$122-E324)</f>
        <v>#VALUE!</v>
      </c>
    </row>
  </sheetData>
  <sheetProtection algorithmName="SHA-512" hashValue="zNS7Q6yjl7KDtyWSLiHCnbuCxWg2V+3g4yv0Tmy5jWM79labiPUVc1odFJV35ka/6NuYKyQEC2riq2xZT6KaHw==" saltValue="LQeEkeBpia9tJyh2pE1zGw==" spinCount="100000" sheet="true" objects="true" scenarios="true"/>
  <mergeCells count="33">
    <mergeCell ref="A1:H1"/>
    <mergeCell ref="A3:AMI3"/>
    <mergeCell ref="C5:D5"/>
    <mergeCell ref="C6:D6"/>
    <mergeCell ref="C7:D7"/>
    <mergeCell ref="C8:D8"/>
    <mergeCell ref="C9:D9"/>
    <mergeCell ref="C10:D10"/>
    <mergeCell ref="C11:D11"/>
    <mergeCell ref="C12:D12"/>
    <mergeCell ref="B14:D14"/>
    <mergeCell ref="B20:F20"/>
    <mergeCell ref="B35:E35"/>
    <mergeCell ref="F35:G35"/>
    <mergeCell ref="B37:B38"/>
    <mergeCell ref="E37:E38"/>
    <mergeCell ref="B39:B41"/>
    <mergeCell ref="E39:E41"/>
    <mergeCell ref="B44:D44"/>
    <mergeCell ref="B50:D50"/>
    <mergeCell ref="B52:C52"/>
    <mergeCell ref="B53:C53"/>
    <mergeCell ref="B54:C54"/>
    <mergeCell ref="B59:C59"/>
    <mergeCell ref="B60:C60"/>
    <mergeCell ref="B64:D64"/>
    <mergeCell ref="B67:C67"/>
    <mergeCell ref="B71:E71"/>
    <mergeCell ref="B81:E81"/>
    <mergeCell ref="B91:E91"/>
    <mergeCell ref="B103:E103"/>
    <mergeCell ref="B104:D104"/>
    <mergeCell ref="B105:D105"/>
  </mergeCells>
  <conditionalFormatting sqref="B66:D66">
    <cfRule type="expression" priority="2" aboveAverage="0" equalAverage="0" bottom="0" percent="0" rank="0" text="" dxfId="33">
      <formula>$C66&lt;=$D66</formula>
    </cfRule>
    <cfRule type="expression" priority="3" aboveAverage="0" equalAverage="0" bottom="0" percent="0" rank="0" text="" dxfId="34">
      <formula>$C66&gt;$D66</formula>
    </cfRule>
  </conditionalFormatting>
  <conditionalFormatting sqref="B68:D69">
    <cfRule type="expression" priority="4" aboveAverage="0" equalAverage="0" bottom="0" percent="0" rank="0" text="" dxfId="35">
      <formula>$C68&gt;=$D68</formula>
    </cfRule>
    <cfRule type="expression" priority="5" aboveAverage="0" equalAverage="0" bottom="0" percent="0" rank="0" text="" dxfId="36">
      <formula>$C68&lt;$D68</formula>
    </cfRule>
  </conditionalFormatting>
  <conditionalFormatting sqref="C87:E87 C97:E97">
    <cfRule type="expression" priority="6" aboveAverage="0" equalAverage="0" bottom="0" percent="0" rank="0" text="" dxfId="37">
      <formula>OR(ISBLANK($D$51),$D$51=0)</formula>
    </cfRule>
    <cfRule type="cellIs" priority="7" operator="lessThanOrEqual" aboveAverage="0" equalAverage="0" bottom="0" percent="0" rank="0" text="" dxfId="38">
      <formula>C88+1</formula>
    </cfRule>
    <cfRule type="cellIs" priority="8" operator="greaterThan" aboveAverage="0" equalAverage="0" bottom="0" percent="0" rank="0" text="" dxfId="39">
      <formula>C88+1</formula>
    </cfRule>
  </conditionalFormatting>
  <conditionalFormatting sqref="C99">
    <cfRule type="expression" priority="9" aboveAverage="0" equalAverage="0" bottom="0" percent="0" rank="0" text="" dxfId="40">
      <formula>OR(ISBLANK($D$51),$D$51=0)</formula>
    </cfRule>
    <cfRule type="cellIs" priority="10" operator="lessThan" aboveAverage="0" equalAverage="0" bottom="0" percent="0" rank="0" text="" dxfId="41">
      <formula>0.2</formula>
    </cfRule>
    <cfRule type="cellIs" priority="11" operator="greaterThanOrEqual" aboveAverage="0" equalAverage="0" bottom="0" percent="0" rank="0" text="" dxfId="42">
      <formula>0.2</formula>
    </cfRule>
  </conditionalFormatting>
  <conditionalFormatting sqref="A81:E100 A101:A102">
    <cfRule type="expression" priority="12" aboveAverage="0" equalAverage="0" bottom="0" percent="0" rank="0" text="" dxfId="43">
      <formula>OR(ISBLANK($D$51),$D$51=0)</formula>
    </cfRule>
  </conditionalFormatting>
  <conditionalFormatting sqref="C77:E77">
    <cfRule type="cellIs" priority="13" operator="lessThanOrEqual" aboveAverage="0" equalAverage="0" bottom="0" percent="0" rank="0" text="" dxfId="44">
      <formula>C78+1</formula>
    </cfRule>
    <cfRule type="cellIs" priority="14" operator="greaterThan" aboveAverage="0" equalAverage="0" bottom="0" percent="0" rank="0" text="" dxfId="45">
      <formula>C78+1</formula>
    </cfRule>
  </conditionalFormatting>
  <conditionalFormatting sqref="D46:D48">
    <cfRule type="expression" priority="15" aboveAverage="0" equalAverage="0" bottom="0" percent="0" rank="0" text="" dxfId="46">
      <formula>SUM($D$46:$D$48)&lt;&gt;$D$17</formula>
    </cfRule>
    <cfRule type="expression" priority="16" aboveAverage="0" equalAverage="0" bottom="0" percent="0" rank="0" text="" dxfId="47">
      <formula>SUM($D$46:$D$48)=$D$17</formula>
    </cfRule>
  </conditionalFormatting>
  <conditionalFormatting sqref="C89">
    <cfRule type="expression" priority="17" aboveAverage="0" equalAverage="0" bottom="0" percent="0" rank="0" text="" dxfId="48">
      <formula>OR(ISBLANK($D$51),$D$51=0)</formula>
    </cfRule>
    <cfRule type="expression" priority="18" aboveAverage="0" equalAverage="0" bottom="0" percent="0" rank="0" text="" dxfId="49">
      <formula>C89&gt;=IF(OR(ISBLANK(C10),AND(ISNUMBER(C10),VALUE(C10)&gt;=VALUE("6/7/2022"))),0.3,0.2)</formula>
    </cfRule>
    <cfRule type="expression" priority="19" aboveAverage="0" equalAverage="0" bottom="0" percent="0" rank="0" text="" dxfId="50">
      <formula>C89&lt;IF(OR(ISBLANK(C10),AND(ISNUMBER(C10),VALUE(C10)&gt;=VALUE("6/7/2022"))),0.3,0.2)</formula>
    </cfRule>
  </conditionalFormatting>
  <conditionalFormatting sqref="C79">
    <cfRule type="expression" priority="20" aboveAverage="0" equalAverage="0" bottom="0" percent="0" rank="0" text="" dxfId="51">
      <formula>OR(ISBLANK($D$51),$D$51=0)</formula>
    </cfRule>
  </conditionalFormatting>
  <conditionalFormatting sqref="C79">
    <cfRule type="expression" priority="21" aboveAverage="0" equalAverage="0" bottom="0" percent="0" rank="0" text="" dxfId="52">
      <formula>OR(ISBLANK($D$51),$D$51=0)</formula>
    </cfRule>
    <cfRule type="expression" priority="22" aboveAverage="0" equalAverage="0" bottom="0" percent="0" rank="0" text="" dxfId="53">
      <formula>C79&gt;=IF(OR(ISBLANK(C1048576),AND(ISNUMBER(C1048576),VALUE(C1048576)&gt;=VALUE("6/7/2022"))),0.3,0.2)</formula>
    </cfRule>
    <cfRule type="expression" priority="23" aboveAverage="0" equalAverage="0" bottom="0" percent="0" rank="0" text="" dxfId="54">
      <formula>C79&lt;IF(OR(ISBLANK(C1048576),AND(ISNUMBER(C1048576),VALUE(C1048576)&gt;=VALUE("6/7/2022"))),0.3,0.2)</formula>
    </cfRule>
  </conditionalFormatting>
  <dataValidations count="3">
    <dataValidation allowBlank="true" errorStyle="stop" operator="equal" showDropDown="false" showErrorMessage="true" showInputMessage="false" sqref="D26" type="list">
      <mc:AlternateContent xmlns:x12ac="http://schemas.microsoft.com/office/spreadsheetml/2011/1/ac" xmlns:mc="http://schemas.openxmlformats.org/markup-compatibility/2006">
        <mc:Choice Requires="x12ac">
          <x12ac:list>0,"0,510",0,"0,155",0,"0,350"</x12ac:list>
        </mc:Choice>
        <mc:Fallback>
          <formula1>"0,0,510,0,0,155,0,0,350"</formula1>
        </mc:Fallback>
      </mc:AlternateContent>
      <formula2>0</formula2>
    </dataValidation>
    <dataValidation allowBlank="true" errorStyle="stop" operator="equal" showDropDown="false" showErrorMessage="true" showInputMessage="false" sqref="D25" type="list">
      <mc:AlternateContent xmlns:x12ac="http://schemas.microsoft.com/office/spreadsheetml/2011/1/ac" xmlns:mc="http://schemas.openxmlformats.org/markup-compatibility/2006">
        <mc:Choice Requires="x12ac">
          <x12ac:list>0,"0,840",0,"0,702"</x12ac:list>
        </mc:Choice>
        <mc:Fallback>
          <formula1>"0,0,840,0,0,702"</formula1>
        </mc:Fallback>
      </mc:AlternateContent>
      <formula2>0</formula2>
    </dataValidation>
    <dataValidation allowBlank="true" errorStyle="stop" operator="equal" showDropDown="false" showErrorMessage="true" showInputMessage="false" sqref="D18" type="list">
      <formula1>"BB (Fourgon),BE (Pick-up),Autre"</formula1>
      <formula2>0</formula2>
    </dataValidation>
  </dataValidation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24"/>
  <sheetViews>
    <sheetView showFormulas="false" showGridLines="false" showRowColHeaders="true" showZeros="true" rightToLeft="false" tabSelected="false" showOutlineSymbols="true" defaultGridColor="true" view="normal" topLeftCell="A13" colorId="64" zoomScale="90" zoomScaleNormal="90" zoomScalePageLayoutView="100" workbookViewId="0">
      <selection pane="topLeft" activeCell="A1" activeCellId="0" sqref="A1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119" width="3.14"/>
    <col collapsed="false" customWidth="true" hidden="false" outlineLevel="0" max="2" min="2" style="119" width="47.43"/>
    <col collapsed="false" customWidth="true" hidden="false" outlineLevel="0" max="3" min="3" style="119" width="19.71"/>
    <col collapsed="false" customWidth="true" hidden="false" outlineLevel="0" max="4" min="4" style="119" width="36.14"/>
    <col collapsed="false" customWidth="true" hidden="false" outlineLevel="0" max="5" min="5" style="119" width="15.15"/>
    <col collapsed="false" customWidth="true" hidden="false" outlineLevel="0" max="6" min="6" style="119" width="26.71"/>
    <col collapsed="false" customWidth="true" hidden="false" outlineLevel="0" max="7" min="7" style="119" width="19.99"/>
    <col collapsed="false" customWidth="true" hidden="false" outlineLevel="0" max="8" min="8" style="119" width="4.14"/>
    <col collapsed="false" customWidth="true" hidden="true" outlineLevel="0" max="9" min="9" style="119" width="22.14"/>
    <col collapsed="false" customWidth="true" hidden="true" outlineLevel="0" max="10" min="10" style="119" width="18"/>
    <col collapsed="false" customWidth="false" hidden="true" outlineLevel="0" max="1024" min="11" style="119" width="11.57"/>
  </cols>
  <sheetData>
    <row r="1" customFormat="false" ht="50.25" hidden="false" customHeight="true" outlineLevel="0" collapsed="false">
      <c r="A1" s="120" t="s">
        <v>191</v>
      </c>
      <c r="B1" s="120"/>
      <c r="C1" s="120"/>
      <c r="D1" s="120"/>
      <c r="E1" s="120"/>
      <c r="F1" s="120"/>
      <c r="G1" s="120"/>
      <c r="H1" s="120"/>
    </row>
    <row r="3" s="121" customFormat="true" ht="18" hidden="false" customHeight="false" outlineLevel="0" collapsed="false">
      <c r="A3" s="121" t="s">
        <v>179</v>
      </c>
      <c r="AMJ3" s="119"/>
    </row>
    <row r="5" customFormat="false" ht="12.75" hidden="false" customHeight="false" outlineLevel="0" collapsed="false">
      <c r="B5" s="119" t="s">
        <v>15</v>
      </c>
      <c r="C5" s="10"/>
      <c r="D5" s="10"/>
    </row>
    <row r="6" customFormat="false" ht="12.75" hidden="false" customHeight="false" outlineLevel="0" collapsed="false">
      <c r="B6" s="119" t="s">
        <v>16</v>
      </c>
      <c r="C6" s="10"/>
      <c r="D6" s="10"/>
    </row>
    <row r="7" customFormat="false" ht="12.75" hidden="false" customHeight="false" outlineLevel="0" collapsed="false">
      <c r="B7" s="119" t="s">
        <v>105</v>
      </c>
      <c r="C7" s="10"/>
      <c r="D7" s="10"/>
    </row>
    <row r="8" customFormat="false" ht="12.75" hidden="false" customHeight="false" outlineLevel="0" collapsed="false">
      <c r="B8" s="119" t="s">
        <v>106</v>
      </c>
      <c r="C8" s="10"/>
      <c r="D8" s="10"/>
    </row>
    <row r="9" customFormat="false" ht="12.75" hidden="false" customHeight="false" outlineLevel="0" collapsed="false">
      <c r="B9" s="119" t="s">
        <v>107</v>
      </c>
      <c r="C9" s="10"/>
      <c r="D9" s="10"/>
    </row>
    <row r="10" customFormat="false" ht="12.75" hidden="false" customHeight="false" outlineLevel="0" collapsed="false">
      <c r="B10" s="119" t="s">
        <v>108</v>
      </c>
      <c r="C10" s="11"/>
      <c r="D10" s="11"/>
    </row>
    <row r="11" customFormat="false" ht="12.75" hidden="false" customHeight="false" outlineLevel="0" collapsed="false">
      <c r="B11" s="119" t="s">
        <v>21</v>
      </c>
      <c r="C11" s="11"/>
      <c r="D11" s="11"/>
    </row>
    <row r="12" customFormat="false" ht="32.25" hidden="false" customHeight="true" outlineLevel="0" collapsed="false">
      <c r="B12" s="122" t="s">
        <v>22</v>
      </c>
      <c r="C12" s="13"/>
      <c r="D12" s="13"/>
    </row>
    <row r="14" customFormat="false" ht="12.75" hidden="false" customHeight="false" outlineLevel="0" collapsed="false">
      <c r="B14" s="123"/>
      <c r="C14" s="123"/>
      <c r="D14" s="123"/>
    </row>
    <row r="15" customFormat="false" ht="12.75" hidden="false" customHeight="false" outlineLevel="0" collapsed="false">
      <c r="B15" s="124" t="s">
        <v>109</v>
      </c>
      <c r="C15" s="125" t="s">
        <v>110</v>
      </c>
      <c r="D15" s="18"/>
      <c r="F15" s="124" t="s">
        <v>27</v>
      </c>
      <c r="G15" s="19"/>
    </row>
    <row r="16" customFormat="false" ht="12.75" hidden="false" customHeight="false" outlineLevel="0" collapsed="false">
      <c r="B16" s="124" t="s">
        <v>25</v>
      </c>
      <c r="C16" s="125" t="s">
        <v>26</v>
      </c>
      <c r="D16" s="18"/>
      <c r="F16" s="124" t="s">
        <v>30</v>
      </c>
      <c r="G16" s="19"/>
    </row>
    <row r="17" customFormat="false" ht="12.75" hidden="false" customHeight="false" outlineLevel="0" collapsed="false">
      <c r="B17" s="126" t="s">
        <v>111</v>
      </c>
      <c r="C17" s="125" t="s">
        <v>29</v>
      </c>
      <c r="D17" s="21"/>
      <c r="F17" s="124" t="s">
        <v>32</v>
      </c>
      <c r="G17" s="127" t="n">
        <f aca="false">G16*G15</f>
        <v>0</v>
      </c>
    </row>
    <row r="18" customFormat="false" ht="12.75" hidden="false" customHeight="false" outlineLevel="0" collapsed="false">
      <c r="B18" s="128"/>
      <c r="C18" s="129"/>
      <c r="D18" s="130"/>
    </row>
    <row r="19" customFormat="false" ht="12.75" hidden="false" customHeight="false" outlineLevel="0" collapsed="false">
      <c r="B19" s="131" t="s">
        <v>112</v>
      </c>
      <c r="C19" s="131"/>
      <c r="D19" s="131"/>
      <c r="E19" s="131"/>
      <c r="F19" s="131"/>
      <c r="G19" s="131"/>
    </row>
    <row r="20" customFormat="false" ht="12.75" hidden="false" customHeight="false" outlineLevel="0" collapsed="false">
      <c r="B20" s="124" t="s">
        <v>34</v>
      </c>
      <c r="C20" s="26"/>
      <c r="G20" s="132"/>
    </row>
    <row r="21" customFormat="false" ht="12.75" hidden="false" customHeight="false" outlineLevel="0" collapsed="false">
      <c r="B21" s="124" t="s">
        <v>35</v>
      </c>
      <c r="C21" s="26"/>
      <c r="G21" s="132"/>
    </row>
    <row r="22" customFormat="false" ht="12.75" hidden="false" customHeight="false" outlineLevel="0" collapsed="false">
      <c r="B22" s="133"/>
      <c r="C22" s="134"/>
      <c r="G22" s="132"/>
    </row>
    <row r="23" customFormat="false" ht="25.5" hidden="false" customHeight="false" outlineLevel="0" collapsed="false">
      <c r="B23" s="133"/>
      <c r="C23" s="135" t="s">
        <v>36</v>
      </c>
      <c r="D23" s="136" t="s">
        <v>113</v>
      </c>
      <c r="E23" s="137" t="s">
        <v>192</v>
      </c>
      <c r="F23" s="137" t="s">
        <v>193</v>
      </c>
      <c r="G23" s="138" t="s">
        <v>38</v>
      </c>
    </row>
    <row r="24" customFormat="false" ht="18" hidden="false" customHeight="true" outlineLevel="0" collapsed="false">
      <c r="B24" s="124" t="s">
        <v>194</v>
      </c>
      <c r="C24" s="37"/>
      <c r="D24" s="87" t="n">
        <v>0.84</v>
      </c>
      <c r="E24" s="39"/>
      <c r="F24" s="186" t="str">
        <f aca="false">IF(G42="","",E24-C$113)</f>
        <v/>
      </c>
      <c r="G24" s="40"/>
    </row>
    <row r="25" customFormat="false" ht="15.75" hidden="false" customHeight="false" outlineLevel="0" collapsed="false">
      <c r="B25" s="124" t="s">
        <v>195</v>
      </c>
      <c r="C25" s="37"/>
      <c r="D25" s="87" t="n">
        <v>0.84</v>
      </c>
      <c r="E25" s="39"/>
      <c r="F25" s="186" t="str">
        <f aca="false">IF(G42="","",E25-C$113)</f>
        <v/>
      </c>
      <c r="G25" s="40"/>
    </row>
    <row r="26" customFormat="false" ht="15.75" hidden="false" customHeight="false" outlineLevel="0" collapsed="false">
      <c r="B26" s="124" t="s">
        <v>116</v>
      </c>
      <c r="C26" s="37"/>
      <c r="D26" s="87" t="n">
        <v>0.51</v>
      </c>
      <c r="E26" s="39"/>
      <c r="F26" s="186" t="str">
        <f aca="false">IF(G42="","",E26-C$113)</f>
        <v/>
      </c>
      <c r="G26" s="40"/>
    </row>
    <row r="27" customFormat="false" ht="15.75" hidden="false" customHeight="false" outlineLevel="0" collapsed="false">
      <c r="B27" s="124" t="s">
        <v>117</v>
      </c>
      <c r="C27" s="37"/>
      <c r="D27" s="139" t="n">
        <v>1.09</v>
      </c>
      <c r="E27" s="39"/>
      <c r="F27" s="186" t="str">
        <f aca="false">IF(G42="","",E27-C$113)</f>
        <v/>
      </c>
      <c r="G27" s="40"/>
    </row>
    <row r="28" customFormat="false" ht="15.75" hidden="false" customHeight="false" outlineLevel="0" collapsed="false">
      <c r="B28" s="133"/>
      <c r="C28" s="134"/>
      <c r="G28" s="132"/>
    </row>
    <row r="29" customFormat="false" ht="15.75" hidden="false" customHeight="false" outlineLevel="0" collapsed="false">
      <c r="B29" s="133"/>
      <c r="C29" s="125" t="s">
        <v>119</v>
      </c>
      <c r="D29" s="125" t="s">
        <v>120</v>
      </c>
      <c r="E29" s="125" t="s">
        <v>45</v>
      </c>
      <c r="G29" s="132"/>
    </row>
    <row r="30" customFormat="false" ht="15.75" hidden="false" customHeight="false" outlineLevel="0" collapsed="false">
      <c r="B30" s="124" t="s">
        <v>121</v>
      </c>
      <c r="C30" s="140" t="str">
        <f aca="false">IF(G42="","",(0.9-G24)*C24*D24*(G42-F24)/G42+(0.9-G25)*C25*D25*(G42-F25)/G42)</f>
        <v/>
      </c>
      <c r="D30" s="140" t="str">
        <f aca="false">IF(G42="","",E30-C30)</f>
        <v/>
      </c>
      <c r="E30" s="140" t="n">
        <f aca="false">IF(G24&gt;1,"Limité à 100%",IF(G25&gt;1,"Limité à 100%",MAX((0.9-G24),0)*C24*D24+MAX((0.9-G25),0)*C25*D25))</f>
        <v>0</v>
      </c>
      <c r="G30" s="132"/>
    </row>
    <row r="31" customFormat="false" ht="15.75" hidden="false" customHeight="false" outlineLevel="0" collapsed="false">
      <c r="B31" s="124" t="s">
        <v>122</v>
      </c>
      <c r="C31" s="140" t="str">
        <f aca="false">IF(G42="","",E31*(G42-F26)/G42)</f>
        <v/>
      </c>
      <c r="D31" s="140" t="str">
        <f aca="false">IF(G42="","",E31-C31)</f>
        <v/>
      </c>
      <c r="E31" s="140" t="n">
        <f aca="false">IF(G26&gt;1,"Limité à 100%",MAX((0.9-G26),0)*C26*D26)</f>
        <v>0</v>
      </c>
      <c r="G31" s="132"/>
    </row>
    <row r="32" customFormat="false" ht="15.75" hidden="false" customHeight="false" outlineLevel="0" collapsed="false">
      <c r="B32" s="124" t="s">
        <v>123</v>
      </c>
      <c r="C32" s="140" t="str">
        <f aca="false">IF(G42="","",E32*(G42-F27)/G42)</f>
        <v/>
      </c>
      <c r="D32" s="140" t="str">
        <f aca="false">IF(G42="","",E32-C32)</f>
        <v/>
      </c>
      <c r="E32" s="140" t="n">
        <f aca="false">IF(G27&gt;1,"Limité à 100%",(1-G27)*C27*D27)</f>
        <v>0</v>
      </c>
      <c r="G32" s="132"/>
    </row>
    <row r="33" customFormat="false" ht="15.75" hidden="false" customHeight="false" outlineLevel="0" collapsed="false">
      <c r="B33" s="141" t="s">
        <v>124</v>
      </c>
      <c r="C33" s="142" t="str">
        <f aca="false">IF(G42="","",C32+C31+C30+C20)</f>
        <v/>
      </c>
      <c r="D33" s="142" t="str">
        <f aca="false">IF(G42="","",D32+D31+D30+C21)</f>
        <v/>
      </c>
      <c r="E33" s="142" t="n">
        <f aca="false">C20+C21+E30+E31+E32</f>
        <v>0</v>
      </c>
      <c r="F33" s="187"/>
      <c r="G33" s="143"/>
    </row>
    <row r="34" customFormat="false" ht="12.75" hidden="false" customHeight="false" outlineLevel="0" collapsed="false">
      <c r="B34" s="128"/>
      <c r="C34" s="129"/>
      <c r="D34" s="130"/>
    </row>
    <row r="35" customFormat="false" ht="15.75" hidden="false" customHeight="false" outlineLevel="0" collapsed="false">
      <c r="B35" s="49" t="s">
        <v>47</v>
      </c>
      <c r="C35" s="49"/>
      <c r="D35" s="49"/>
      <c r="E35" s="49"/>
      <c r="F35" s="131" t="s">
        <v>48</v>
      </c>
      <c r="G35" s="131"/>
    </row>
    <row r="36" customFormat="false" ht="15.75" hidden="false" customHeight="false" outlineLevel="0" collapsed="false">
      <c r="D36" s="125" t="s">
        <v>125</v>
      </c>
      <c r="E36" s="125" t="s">
        <v>50</v>
      </c>
      <c r="G36" s="125" t="s">
        <v>126</v>
      </c>
    </row>
    <row r="37" customFormat="false" ht="15.75" hidden="false" customHeight="false" outlineLevel="0" collapsed="false">
      <c r="B37" s="136" t="s">
        <v>52</v>
      </c>
      <c r="C37" s="144" t="s">
        <v>127</v>
      </c>
      <c r="D37" s="18"/>
      <c r="E37" s="145" t="n">
        <f aca="false">D37+D38</f>
        <v>0</v>
      </c>
      <c r="F37" s="128"/>
    </row>
    <row r="38" customFormat="false" ht="15.75" hidden="false" customHeight="false" outlineLevel="0" collapsed="false">
      <c r="B38" s="136"/>
      <c r="C38" s="119" t="str">
        <f aca="false">IF(ISBLANK(D38),"","Essieu 2")</f>
        <v/>
      </c>
      <c r="D38" s="18"/>
      <c r="E38" s="145"/>
      <c r="F38" s="146" t="str">
        <f aca="false">IF(COUNT(D37:D38)&gt;1,"1-2 : Essieu 1 à essieu 2","")</f>
        <v/>
      </c>
      <c r="G38" s="188"/>
    </row>
    <row r="39" customFormat="false" ht="15.75" hidden="false" customHeight="false" outlineLevel="0" collapsed="false">
      <c r="B39" s="136" t="s">
        <v>53</v>
      </c>
      <c r="C39" s="148" t="str">
        <f aca="false">"Essieu " &amp; MAX(2,COUNT(D37:D38)+1)</f>
        <v>Essieu 2</v>
      </c>
      <c r="D39" s="54"/>
      <c r="E39" s="149" t="n">
        <f aca="false">D39+D40+D41</f>
        <v>0</v>
      </c>
      <c r="F39" s="150" t="str">
        <f aca="false">IF(COUNT(D37:D38)&gt;1,"2-3 : Essieu 2 à essieu 3","1-2 : Essieu 1 à essieu 2")</f>
        <v>1-2 : Essieu 1 à essieu 2</v>
      </c>
      <c r="G39" s="188"/>
    </row>
    <row r="40" customFormat="false" ht="15.75" hidden="false" customHeight="false" outlineLevel="0" collapsed="false">
      <c r="B40" s="136"/>
      <c r="C40" s="124" t="str">
        <f aca="false">IF(ISBLANK(D40),"",_xlfn.CONCAT("Essieu ",RIGHT(C39)+1))</f>
        <v/>
      </c>
      <c r="D40" s="18"/>
      <c r="E40" s="149"/>
      <c r="F40" s="124" t="str">
        <f aca="false">IF(ISBLANK(D40),"",IF(COUNT(D37:D38)&gt;1,"3-4 : Essieu 3 à essieu 4","2-3 : Essieu 2 à essieu 3"))</f>
        <v/>
      </c>
      <c r="G40" s="189"/>
    </row>
    <row r="41" customFormat="false" ht="15.75" hidden="false" customHeight="false" outlineLevel="0" collapsed="false">
      <c r="B41" s="136"/>
      <c r="C41" s="151" t="str">
        <f aca="false">IF(ISBLANK(D41),"",_xlfn.CONCAT("Essieu ",RIGHT(C39)+2))</f>
        <v/>
      </c>
      <c r="D41" s="56"/>
      <c r="E41" s="149"/>
      <c r="F41" s="119" t="str">
        <f aca="false">IF(ISBLANK(D41),"",IF(COUNT(D37:D38)&gt;1,"4-5 : Essieu 4 à essieu 5","3-4 : Essieu 3 à essieu 4"))</f>
        <v/>
      </c>
      <c r="G41" s="190"/>
    </row>
    <row r="42" customFormat="false" ht="15.75" hidden="false" customHeight="false" outlineLevel="0" collapsed="false">
      <c r="F42" s="152" t="s">
        <v>54</v>
      </c>
      <c r="G42" s="191" t="str">
        <f aca="false">IF(ISBLANK(D37),"",G38+G39+(G40*D40+(G40+G41)*D41)/(D39+D40+D41)-(D38/(D37+D38)*G38))</f>
        <v/>
      </c>
    </row>
    <row r="43" customFormat="false" ht="15.75" hidden="false" customHeight="false" outlineLevel="0" collapsed="false">
      <c r="F43" s="154"/>
      <c r="G43" s="155"/>
    </row>
    <row r="44" customFormat="false" ht="15.75" hidden="false" customHeight="false" outlineLevel="0" collapsed="false">
      <c r="B44" s="131" t="s">
        <v>134</v>
      </c>
      <c r="C44" s="131"/>
      <c r="D44" s="131"/>
      <c r="E44" s="131"/>
      <c r="F44" s="154"/>
      <c r="G44" s="155"/>
    </row>
    <row r="45" customFormat="false" ht="25.5" hidden="false" customHeight="false" outlineLevel="0" collapsed="false">
      <c r="B45" s="156" t="s">
        <v>135</v>
      </c>
      <c r="C45" s="137" t="s">
        <v>196</v>
      </c>
      <c r="D45" s="192" t="s">
        <v>197</v>
      </c>
      <c r="E45" s="137" t="s">
        <v>137</v>
      </c>
      <c r="F45" s="154"/>
      <c r="G45" s="155"/>
    </row>
    <row r="46" customFormat="false" ht="16.5" hidden="false" customHeight="false" outlineLevel="0" collapsed="false">
      <c r="B46" s="156" t="s">
        <v>138</v>
      </c>
      <c r="C46" s="193"/>
      <c r="D46" s="186" t="e">
        <f aca="false">C46-C$113</f>
        <v>#DIV/0!</v>
      </c>
      <c r="E46" s="10"/>
      <c r="F46" s="154"/>
      <c r="G46" s="155"/>
    </row>
    <row r="47" customFormat="false" ht="16.5" hidden="false" customHeight="false" outlineLevel="0" collapsed="false">
      <c r="B47" s="156" t="s">
        <v>139</v>
      </c>
      <c r="C47" s="193"/>
      <c r="D47" s="186" t="e">
        <f aca="false">C47-C$113</f>
        <v>#DIV/0!</v>
      </c>
      <c r="E47" s="10"/>
      <c r="F47" s="154"/>
      <c r="G47" s="155"/>
    </row>
    <row r="48" customFormat="false" ht="12.75" hidden="false" customHeight="false" outlineLevel="0" collapsed="false">
      <c r="B48" s="156" t="s">
        <v>140</v>
      </c>
      <c r="C48" s="193"/>
      <c r="D48" s="186" t="e">
        <f aca="false">C48-C$113</f>
        <v>#DIV/0!</v>
      </c>
      <c r="E48" s="10"/>
      <c r="F48" s="154"/>
      <c r="G48" s="155"/>
    </row>
    <row r="49" customFormat="false" ht="12.75" hidden="false" customHeight="false" outlineLevel="0" collapsed="false">
      <c r="F49" s="154"/>
      <c r="G49" s="155"/>
    </row>
    <row r="50" customFormat="false" ht="12.75" hidden="false" customHeight="false" outlineLevel="0" collapsed="false">
      <c r="B50" s="131" t="s">
        <v>148</v>
      </c>
      <c r="C50" s="131"/>
      <c r="D50" s="131"/>
      <c r="F50" s="154"/>
      <c r="G50" s="155"/>
    </row>
    <row r="51" customFormat="false" ht="12.75" hidden="false" customHeight="false" outlineLevel="0" collapsed="false">
      <c r="B51" s="124" t="s">
        <v>149</v>
      </c>
      <c r="C51" s="125" t="s">
        <v>150</v>
      </c>
      <c r="D51" s="18"/>
    </row>
    <row r="52" customFormat="false" ht="12.75" hidden="false" customHeight="false" outlineLevel="0" collapsed="false">
      <c r="B52" s="144" t="s">
        <v>151</v>
      </c>
      <c r="C52" s="144"/>
      <c r="D52" s="189"/>
    </row>
    <row r="53" customFormat="false" ht="12.75" hidden="false" customHeight="false" outlineLevel="0" collapsed="false">
      <c r="B53" s="144" t="s">
        <v>152</v>
      </c>
      <c r="C53" s="144"/>
      <c r="D53" s="186" t="e">
        <f aca="false">D52+G40+G41-C112</f>
        <v>#DIV/0!</v>
      </c>
    </row>
    <row r="55" customFormat="false" ht="12.75" hidden="false" customHeight="false" outlineLevel="0" collapsed="false">
      <c r="B55" s="159" t="s">
        <v>56</v>
      </c>
      <c r="C55" s="125"/>
      <c r="D55" s="189"/>
    </row>
    <row r="56" customFormat="false" ht="12.75" hidden="false" customHeight="false" outlineLevel="0" collapsed="false">
      <c r="B56" s="159" t="s">
        <v>57</v>
      </c>
      <c r="C56" s="125"/>
      <c r="D56" s="189"/>
    </row>
    <row r="57" customFormat="false" ht="12.75" hidden="false" customHeight="false" outlineLevel="0" collapsed="false">
      <c r="B57" s="124" t="s">
        <v>58</v>
      </c>
      <c r="C57" s="124"/>
      <c r="D57" s="186" t="e">
        <f aca="false">D56+G40+G41-C112</f>
        <v>#DIV/0!</v>
      </c>
    </row>
    <row r="58" customFormat="false" ht="12.75" hidden="false" customHeight="false" outlineLevel="0" collapsed="false">
      <c r="B58" s="159" t="s">
        <v>59</v>
      </c>
      <c r="C58" s="159"/>
      <c r="D58" s="186" t="e">
        <f aca="false">D55/2-D57</f>
        <v>#DIV/0!</v>
      </c>
    </row>
    <row r="59" customFormat="false" ht="12.75" hidden="false" customHeight="false" outlineLevel="0" collapsed="false">
      <c r="B59" s="128"/>
      <c r="C59" s="129"/>
      <c r="D59" s="130"/>
    </row>
    <row r="60" customFormat="false" ht="12.75" hidden="false" customHeight="false" outlineLevel="0" collapsed="false">
      <c r="B60" s="161" t="s">
        <v>154</v>
      </c>
      <c r="C60" s="125"/>
      <c r="D60" s="162" t="e">
        <f aca="false">D16-C33-D33-D17*75</f>
        <v>#VALUE!</v>
      </c>
    </row>
    <row r="61" customFormat="false" ht="12.75" hidden="false" customHeight="false" outlineLevel="0" collapsed="false">
      <c r="B61" s="163"/>
      <c r="C61" s="129"/>
      <c r="D61" s="130"/>
    </row>
    <row r="62" customFormat="false" ht="12.75" hidden="false" customHeight="false" outlineLevel="0" collapsed="false">
      <c r="B62" s="131" t="s">
        <v>155</v>
      </c>
      <c r="C62" s="131"/>
      <c r="D62" s="131"/>
    </row>
    <row r="63" customFormat="false" ht="12.75" hidden="false" customHeight="false" outlineLevel="0" collapsed="false">
      <c r="B63" s="131"/>
      <c r="C63" s="131"/>
      <c r="D63" s="144" t="e">
        <f aca="false">"Charge utile à répartir : "&amp;ROUND(D60,0)&amp;" kg"</f>
        <v>#VALUE!</v>
      </c>
    </row>
    <row r="64" customFormat="false" ht="12.75" hidden="false" customHeight="false" outlineLevel="0" collapsed="false">
      <c r="B64" s="131"/>
      <c r="C64" s="131"/>
      <c r="D64" s="194" t="e">
        <f aca="false">"Charge utile restante à répartir : "&amp;ROUND(D60-SUM(D67:D92),0)&amp;" kg"</f>
        <v>#VALUE!</v>
      </c>
    </row>
    <row r="65" customFormat="false" ht="51" hidden="false" customHeight="false" outlineLevel="0" collapsed="false">
      <c r="B65" s="156" t="s">
        <v>61</v>
      </c>
      <c r="C65" s="137" t="s">
        <v>196</v>
      </c>
      <c r="D65" s="137" t="s">
        <v>63</v>
      </c>
      <c r="E65" s="137" t="s">
        <v>198</v>
      </c>
    </row>
    <row r="66" customFormat="false" ht="12.75" hidden="false" customHeight="false" outlineLevel="0" collapsed="false">
      <c r="B66" s="156" t="s">
        <v>149</v>
      </c>
      <c r="C66" s="195" t="n">
        <f aca="false">D52+SUM(G38:G41)</f>
        <v>0</v>
      </c>
      <c r="D66" s="196" t="n">
        <f aca="false">D51</f>
        <v>0</v>
      </c>
      <c r="E66" s="158" t="e">
        <f aca="false">D53+G42</f>
        <v>#DIV/0!</v>
      </c>
    </row>
    <row r="67" customFormat="false" ht="12.75" hidden="false" customHeight="false" outlineLevel="0" collapsed="false">
      <c r="B67" s="197" t="s">
        <v>65</v>
      </c>
      <c r="C67" s="71"/>
      <c r="D67" s="69"/>
      <c r="E67" s="158" t="e">
        <f aca="false">C67-C$113</f>
        <v>#DIV/0!</v>
      </c>
    </row>
    <row r="68" customFormat="false" ht="12.75" hidden="false" customHeight="false" outlineLevel="0" collapsed="false">
      <c r="B68" s="197" t="s">
        <v>66</v>
      </c>
      <c r="C68" s="71"/>
      <c r="D68" s="69"/>
      <c r="E68" s="158" t="e">
        <f aca="false">C68-C$113</f>
        <v>#DIV/0!</v>
      </c>
    </row>
    <row r="69" customFormat="false" ht="12.75" hidden="false" customHeight="false" outlineLevel="0" collapsed="false">
      <c r="B69" s="197" t="s">
        <v>67</v>
      </c>
      <c r="C69" s="71"/>
      <c r="D69" s="69"/>
      <c r="E69" s="158" t="e">
        <f aca="false">C69-C$113</f>
        <v>#DIV/0!</v>
      </c>
    </row>
    <row r="70" customFormat="false" ht="12.75" hidden="false" customHeight="false" outlineLevel="0" collapsed="false">
      <c r="B70" s="197" t="s">
        <v>68</v>
      </c>
      <c r="C70" s="71"/>
      <c r="D70" s="69"/>
      <c r="E70" s="158" t="e">
        <f aca="false">C70-C$113</f>
        <v>#DIV/0!</v>
      </c>
    </row>
    <row r="71" customFormat="false" ht="12.75" hidden="false" customHeight="false" outlineLevel="0" collapsed="false">
      <c r="B71" s="197" t="s">
        <v>69</v>
      </c>
      <c r="C71" s="71"/>
      <c r="D71" s="69"/>
      <c r="E71" s="158" t="e">
        <f aca="false">C71-C$113</f>
        <v>#DIV/0!</v>
      </c>
    </row>
    <row r="72" customFormat="false" ht="12.75" hidden="false" customHeight="false" outlineLevel="0" collapsed="false">
      <c r="B72" s="197" t="s">
        <v>70</v>
      </c>
      <c r="C72" s="71"/>
      <c r="D72" s="69"/>
      <c r="E72" s="158" t="e">
        <f aca="false">C72-C$113</f>
        <v>#DIV/0!</v>
      </c>
    </row>
    <row r="73" customFormat="false" ht="12.75" hidden="false" customHeight="false" outlineLevel="0" collapsed="false">
      <c r="B73" s="197" t="s">
        <v>71</v>
      </c>
      <c r="C73" s="71"/>
      <c r="D73" s="69"/>
      <c r="E73" s="158" t="e">
        <f aca="false">C73-C$113</f>
        <v>#DIV/0!</v>
      </c>
    </row>
    <row r="74" customFormat="false" ht="12.75" hidden="false" customHeight="false" outlineLevel="0" collapsed="false">
      <c r="B74" s="197" t="s">
        <v>72</v>
      </c>
      <c r="C74" s="71"/>
      <c r="D74" s="69"/>
      <c r="E74" s="158" t="e">
        <f aca="false">C74-C$113</f>
        <v>#DIV/0!</v>
      </c>
    </row>
    <row r="75" customFormat="false" ht="12.75" hidden="false" customHeight="false" outlineLevel="0" collapsed="false">
      <c r="B75" s="197" t="s">
        <v>73</v>
      </c>
      <c r="C75" s="71"/>
      <c r="D75" s="69"/>
      <c r="E75" s="158" t="e">
        <f aca="false">C75-C$113</f>
        <v>#DIV/0!</v>
      </c>
    </row>
    <row r="76" customFormat="false" ht="12.75" hidden="false" customHeight="false" outlineLevel="0" collapsed="false">
      <c r="B76" s="197" t="s">
        <v>74</v>
      </c>
      <c r="C76" s="71"/>
      <c r="D76" s="69"/>
      <c r="E76" s="158" t="e">
        <f aca="false">C76-C$113</f>
        <v>#DIV/0!</v>
      </c>
    </row>
    <row r="77" customFormat="false" ht="12.75" hidden="false" customHeight="false" outlineLevel="0" collapsed="false">
      <c r="B77" s="197" t="s">
        <v>75</v>
      </c>
      <c r="C77" s="71"/>
      <c r="D77" s="69"/>
      <c r="E77" s="158" t="e">
        <f aca="false">C77-C$113</f>
        <v>#DIV/0!</v>
      </c>
    </row>
    <row r="78" customFormat="false" ht="12.75" hidden="false" customHeight="false" outlineLevel="0" collapsed="false">
      <c r="B78" s="197" t="s">
        <v>76</v>
      </c>
      <c r="C78" s="71"/>
      <c r="D78" s="69"/>
      <c r="E78" s="158" t="e">
        <f aca="false">C78-C$113</f>
        <v>#DIV/0!</v>
      </c>
    </row>
    <row r="79" customFormat="false" ht="12.75" hidden="false" customHeight="false" outlineLevel="0" collapsed="false">
      <c r="B79" s="197" t="s">
        <v>77</v>
      </c>
      <c r="C79" s="71"/>
      <c r="D79" s="69"/>
      <c r="E79" s="158" t="e">
        <f aca="false">C79-C$113</f>
        <v>#DIV/0!</v>
      </c>
    </row>
    <row r="80" customFormat="false" ht="12.75" hidden="false" customHeight="false" outlineLevel="0" collapsed="false">
      <c r="B80" s="197" t="s">
        <v>78</v>
      </c>
      <c r="C80" s="71"/>
      <c r="D80" s="69"/>
      <c r="E80" s="158" t="e">
        <f aca="false">C80-C$113</f>
        <v>#DIV/0!</v>
      </c>
    </row>
    <row r="81" customFormat="false" ht="12.75" hidden="false" customHeight="false" outlineLevel="0" collapsed="false">
      <c r="B81" s="197" t="s">
        <v>79</v>
      </c>
      <c r="C81" s="71"/>
      <c r="D81" s="69"/>
      <c r="E81" s="158" t="e">
        <f aca="false">C81-C$113</f>
        <v>#DIV/0!</v>
      </c>
    </row>
    <row r="82" customFormat="false" ht="12.75" hidden="false" customHeight="false" outlineLevel="0" collapsed="false">
      <c r="B82" s="197" t="s">
        <v>80</v>
      </c>
      <c r="C82" s="71"/>
      <c r="D82" s="69"/>
      <c r="E82" s="158" t="e">
        <f aca="false">C82-C$113</f>
        <v>#DIV/0!</v>
      </c>
    </row>
    <row r="83" customFormat="false" ht="12.75" hidden="false" customHeight="false" outlineLevel="0" collapsed="false">
      <c r="B83" s="197" t="s">
        <v>81</v>
      </c>
      <c r="C83" s="71"/>
      <c r="D83" s="69"/>
      <c r="E83" s="158" t="e">
        <f aca="false">C83-C$113</f>
        <v>#DIV/0!</v>
      </c>
    </row>
    <row r="84" customFormat="false" ht="12.75" hidden="false" customHeight="false" outlineLevel="0" collapsed="false">
      <c r="B84" s="197" t="s">
        <v>82</v>
      </c>
      <c r="C84" s="71"/>
      <c r="D84" s="69"/>
      <c r="E84" s="158" t="e">
        <f aca="false">C84-C$113</f>
        <v>#DIV/0!</v>
      </c>
    </row>
    <row r="85" customFormat="false" ht="12.75" hidden="false" customHeight="false" outlineLevel="0" collapsed="false">
      <c r="B85" s="197" t="s">
        <v>83</v>
      </c>
      <c r="C85" s="71"/>
      <c r="D85" s="69"/>
      <c r="E85" s="158" t="e">
        <f aca="false">C85-C$113</f>
        <v>#DIV/0!</v>
      </c>
    </row>
    <row r="86" customFormat="false" ht="12.75" hidden="false" customHeight="false" outlineLevel="0" collapsed="false">
      <c r="B86" s="197" t="s">
        <v>84</v>
      </c>
      <c r="C86" s="71"/>
      <c r="D86" s="69"/>
      <c r="E86" s="158" t="e">
        <f aca="false">C86-C$113</f>
        <v>#DIV/0!</v>
      </c>
    </row>
    <row r="87" customFormat="false" ht="12.75" hidden="false" customHeight="false" outlineLevel="0" collapsed="false">
      <c r="B87" s="197" t="s">
        <v>85</v>
      </c>
      <c r="C87" s="71"/>
      <c r="D87" s="69"/>
      <c r="E87" s="158" t="e">
        <f aca="false">C87-C$113</f>
        <v>#DIV/0!</v>
      </c>
    </row>
    <row r="88" customFormat="false" ht="12.75" hidden="false" customHeight="false" outlineLevel="0" collapsed="false">
      <c r="B88" s="197" t="s">
        <v>86</v>
      </c>
      <c r="C88" s="71"/>
      <c r="D88" s="69"/>
      <c r="E88" s="158" t="e">
        <f aca="false">C88-C$113</f>
        <v>#DIV/0!</v>
      </c>
    </row>
    <row r="89" customFormat="false" ht="12.75" hidden="false" customHeight="false" outlineLevel="0" collapsed="false">
      <c r="B89" s="197" t="s">
        <v>87</v>
      </c>
      <c r="C89" s="71"/>
      <c r="D89" s="69"/>
      <c r="E89" s="158" t="e">
        <f aca="false">C89-C$113</f>
        <v>#DIV/0!</v>
      </c>
    </row>
    <row r="90" customFormat="false" ht="12.75" hidden="false" customHeight="false" outlineLevel="0" collapsed="false">
      <c r="B90" s="197" t="s">
        <v>88</v>
      </c>
      <c r="C90" s="71"/>
      <c r="D90" s="69"/>
      <c r="E90" s="158" t="e">
        <f aca="false">C90-C$113</f>
        <v>#DIV/0!</v>
      </c>
    </row>
    <row r="91" customFormat="false" ht="12.75" hidden="false" customHeight="false" outlineLevel="0" collapsed="false">
      <c r="B91" s="197" t="s">
        <v>89</v>
      </c>
      <c r="C91" s="71"/>
      <c r="D91" s="69"/>
      <c r="E91" s="158" t="e">
        <f aca="false">C91-C$113</f>
        <v>#DIV/0!</v>
      </c>
    </row>
    <row r="92" customFormat="false" ht="12.75" hidden="false" customHeight="false" outlineLevel="0" collapsed="false">
      <c r="B92" s="159" t="s">
        <v>199</v>
      </c>
      <c r="C92" s="195" t="e">
        <f aca="false">E92-C113+G38</f>
        <v>#VALUE!</v>
      </c>
      <c r="D92" s="69"/>
      <c r="E92" s="158" t="e">
        <f aca="false">G42-D58</f>
        <v>#VALUE!</v>
      </c>
    </row>
    <row r="94" customFormat="false" ht="12.75" hidden="false" customHeight="false" outlineLevel="0" collapsed="false">
      <c r="B94" s="131" t="s">
        <v>184</v>
      </c>
      <c r="C94" s="131"/>
      <c r="D94" s="131"/>
    </row>
    <row r="95" customFormat="false" ht="12.75" hidden="false" customHeight="false" outlineLevel="0" collapsed="false">
      <c r="B95" s="131"/>
      <c r="C95" s="164" t="s">
        <v>93</v>
      </c>
      <c r="D95" s="165" t="s">
        <v>94</v>
      </c>
    </row>
    <row r="96" customFormat="false" ht="12.75" hidden="false" customHeight="false" outlineLevel="0" collapsed="false">
      <c r="B96" s="136" t="s">
        <v>185</v>
      </c>
      <c r="C96" s="166" t="n">
        <f aca="false">D17</f>
        <v>0</v>
      </c>
      <c r="D96" s="166" t="n">
        <f aca="false">IF(D15&gt;3500,9,7)</f>
        <v>7</v>
      </c>
    </row>
    <row r="97" customFormat="false" ht="24.75" hidden="false" customHeight="true" outlineLevel="0" collapsed="false">
      <c r="B97" s="161" t="s">
        <v>186</v>
      </c>
      <c r="C97" s="161"/>
      <c r="D97" s="69"/>
    </row>
    <row r="98" customFormat="false" ht="12.75" hidden="false" customHeight="false" outlineLevel="0" collapsed="false">
      <c r="B98" s="136" t="s">
        <v>95</v>
      </c>
      <c r="C98" s="167" t="e">
        <f aca="false">D15-C33-D33-(D17-1)*68-75+D97</f>
        <v>#VALUE!</v>
      </c>
      <c r="D98" s="168" t="n">
        <f aca="false">IF(D17&lt;2,100,IF(D17&lt;4,150,68*(D17-1)))</f>
        <v>100</v>
      </c>
    </row>
    <row r="100" customFormat="false" ht="12.75" hidden="false" customHeight="false" outlineLevel="0" collapsed="false">
      <c r="B100" s="128"/>
      <c r="C100" s="169" t="s">
        <v>52</v>
      </c>
      <c r="D100" s="169" t="s">
        <v>53</v>
      </c>
      <c r="E100" s="169" t="s">
        <v>45</v>
      </c>
    </row>
    <row r="101" customFormat="false" ht="12.75" hidden="false" customHeight="false" outlineLevel="0" collapsed="false">
      <c r="B101" s="124" t="s">
        <v>124</v>
      </c>
      <c r="C101" s="167" t="str">
        <f aca="false">C33</f>
        <v/>
      </c>
      <c r="D101" s="167" t="str">
        <f aca="false">D33</f>
        <v/>
      </c>
      <c r="E101" s="167" t="n">
        <f aca="false">E33</f>
        <v>0</v>
      </c>
    </row>
    <row r="102" customFormat="false" ht="12.75" hidden="false" customHeight="false" outlineLevel="0" collapsed="false">
      <c r="B102" s="124" t="s">
        <v>160</v>
      </c>
      <c r="C102" s="167" t="e">
        <f aca="false">(SUMPRODUCT(G42-D46:D48,E46:E48)*75)/G42</f>
        <v>#VALUE!</v>
      </c>
      <c r="D102" s="167" t="e">
        <f aca="false">75*SUMPRODUCT(D46:D48,E46:E48)/G42</f>
        <v>#DIV/0!</v>
      </c>
      <c r="E102" s="167" t="e">
        <f aca="false">D102+C102</f>
        <v>#DIV/0!</v>
      </c>
    </row>
    <row r="103" customFormat="false" ht="12.75" hidden="false" customHeight="false" outlineLevel="0" collapsed="false">
      <c r="B103" s="124" t="s">
        <v>161</v>
      </c>
      <c r="C103" s="162" t="e">
        <f aca="false">D51*(G42-E66)/G42</f>
        <v>#VALUE!</v>
      </c>
      <c r="D103" s="162" t="e">
        <f aca="false">D51*E66/G42</f>
        <v>#DIV/0!</v>
      </c>
      <c r="E103" s="162" t="e">
        <f aca="false">D103+C103</f>
        <v>#DIV/0!</v>
      </c>
    </row>
    <row r="104" customFormat="false" ht="12.75" hidden="false" customHeight="false" outlineLevel="0" collapsed="false">
      <c r="B104" s="124" t="s">
        <v>98</v>
      </c>
      <c r="C104" s="167" t="e">
        <f aca="false">SUMPRODUCT(G42-E67:E92,D67:D92)/G42</f>
        <v>#VALUE!</v>
      </c>
      <c r="D104" s="167" t="e">
        <f aca="false">SUMPRODUCT(E67:E92,D67:D92)/G42</f>
        <v>#DIV/0!</v>
      </c>
      <c r="E104" s="167" t="e">
        <f aca="false">D104+C104</f>
        <v>#DIV/0!</v>
      </c>
    </row>
    <row r="105" customFormat="false" ht="12.75" hidden="false" customHeight="false" outlineLevel="0" collapsed="false">
      <c r="B105" s="170" t="s">
        <v>99</v>
      </c>
      <c r="C105" s="171" t="e">
        <f aca="false">SUM(C101:C104)</f>
        <v>#VALUE!</v>
      </c>
      <c r="D105" s="171" t="e">
        <f aca="false">SUM(D101:D104)</f>
        <v>#DIV/0!</v>
      </c>
      <c r="E105" s="171" t="e">
        <f aca="false">SUM(E101:E104)</f>
        <v>#DIV/0!</v>
      </c>
    </row>
    <row r="106" customFormat="false" ht="12.75" hidden="false" customHeight="false" outlineLevel="0" collapsed="false">
      <c r="B106" s="170" t="s">
        <v>100</v>
      </c>
      <c r="C106" s="171" t="n">
        <f aca="false">E37</f>
        <v>0</v>
      </c>
      <c r="D106" s="171" t="n">
        <f aca="false">E39</f>
        <v>0</v>
      </c>
      <c r="E106" s="171" t="n">
        <f aca="false">D16</f>
        <v>0</v>
      </c>
    </row>
    <row r="108" customFormat="false" ht="12.75" hidden="false" customHeight="false" outlineLevel="0" collapsed="false">
      <c r="B108" s="177" t="e">
        <f aca="false">IF(AND(D51&lt;0,C117&gt;0,D105&gt;D106+1),"Charge maximale sur le point d'attelage pour respecter le maxi arrière : "&amp;ROUND(G42/(D53+G42-SUMPRODUCT(D67:D92,E67:E92)/SUM(D67:D92))*(D106-D33)-SUMPRODUCT(D67:D92,E67:E92)/SUM(D67:D92)/(D53+G42-SUMPRODUCT(D67:D92,E67:E92)/SUM(D67:D92))*(D16-75*SUM(E46:E48)-E33)-75*SUMPRODUCT(D46:D48,E46:E48)/(D53+G42-SUMPRODUCT(D67:D92,E67:E92)/SUM(D67:D92)),0)&amp;" kg","")</f>
        <v>#DIV/0!</v>
      </c>
    </row>
    <row r="109" customFormat="false" ht="12.75" hidden="false" customHeight="false" outlineLevel="0" collapsed="false">
      <c r="B109" s="177" t="e">
        <f aca="false">IF(C117&lt;D51,B122,"")</f>
        <v>#DIV/0!</v>
      </c>
    </row>
    <row r="110" customFormat="false" ht="12" hidden="true" customHeight="true" outlineLevel="0" collapsed="false"/>
    <row r="111" customFormat="false" ht="12.75" hidden="true" customHeight="false" outlineLevel="0" collapsed="false">
      <c r="B111" s="119" t="s">
        <v>170</v>
      </c>
      <c r="C111" s="119" t="e">
        <f aca="false">D40/(D39+D40)*G40</f>
        <v>#DIV/0!</v>
      </c>
    </row>
    <row r="112" customFormat="false" ht="12.75" hidden="true" customHeight="false" outlineLevel="0" collapsed="false">
      <c r="B112" s="119" t="s">
        <v>171</v>
      </c>
      <c r="C112" s="119" t="e">
        <f aca="false">D41/SUM(D39:D41)*(G41+G40-C111)+C111</f>
        <v>#DIV/0!</v>
      </c>
    </row>
    <row r="113" customFormat="false" ht="12.75" hidden="true" customHeight="false" outlineLevel="0" collapsed="false">
      <c r="B113" s="119" t="s">
        <v>172</v>
      </c>
      <c r="C113" s="119" t="e">
        <f aca="false">D38/(D37+D38)*G38</f>
        <v>#DIV/0!</v>
      </c>
    </row>
    <row r="114" customFormat="false" ht="12.75" hidden="true" customHeight="false" outlineLevel="0" collapsed="false">
      <c r="B114" s="119" t="s">
        <v>103</v>
      </c>
      <c r="C114" s="119" t="e">
        <f aca="false">G38-C113+G39+C112</f>
        <v>#DIV/0!</v>
      </c>
    </row>
    <row r="115" customFormat="false" ht="12.75" hidden="true" customHeight="false" outlineLevel="0" collapsed="false"/>
    <row r="116" customFormat="false" ht="12.75" hidden="true" customHeight="false" outlineLevel="0" collapsed="false">
      <c r="B116" s="119" t="s">
        <v>200</v>
      </c>
    </row>
    <row r="117" customFormat="false" ht="12.75" hidden="true" customHeight="false" outlineLevel="0" collapsed="false">
      <c r="C117" s="119" t="e">
        <f aca="false">ROUND(G42/(D53+G42-SUMPRODUCT(D67:D92,E67:E92)/SUM(D67:D92))*(D106-D33)-SUMPRODUCT(D67:D92,E67:E92)/SUM(D67:D92)/(D53+G42-SUMPRODUCT(D67:D92,E67:E92)/SUM(D67:D92))*(D16-75*SUM(E46:E48)-E33)-75*SUMPRODUCT(D46:D48,E46:E48)/(D53+G42-SUMPRODUCT(D67:D92,E67:E92)/SUM(D67:D92)),0)</f>
        <v>#DIV/0!</v>
      </c>
      <c r="D117" s="181"/>
    </row>
    <row r="118" customFormat="false" ht="12.75" hidden="true" customHeight="false" outlineLevel="0" collapsed="false">
      <c r="D118" s="119" t="s">
        <v>201</v>
      </c>
    </row>
    <row r="119" customFormat="false" ht="12.75" hidden="true" customHeight="false" outlineLevel="0" collapsed="false">
      <c r="D119" s="181" t="n">
        <v>25</v>
      </c>
    </row>
    <row r="120" customFormat="false" ht="12.75" hidden="true" customHeight="false" outlineLevel="0" collapsed="false">
      <c r="D120" s="119" t="s">
        <v>202</v>
      </c>
    </row>
    <row r="121" customFormat="false" ht="12.75" hidden="true" customHeight="false" outlineLevel="0" collapsed="false">
      <c r="D121" s="181" t="e">
        <f aca="false">IF(C117&gt;=350,C117/0.1,MIN(3500,C117/0.04))</f>
        <v>#DIV/0!</v>
      </c>
    </row>
    <row r="122" customFormat="false" ht="12.75" hidden="true" customHeight="false" outlineLevel="0" collapsed="false">
      <c r="B122" s="119" t="e">
        <f aca="false">IF(C117&gt;=D119,IF(C117&gt;=1000,"Selon 97/27 : Masse maximale admissible au point d'attelage : "&amp;C117&amp;" kg / PTRA inchangé","Selon 97/27 : masse maximale admissible au point d'attelage : "&amp;C117&amp;" kg et réduction de la masse tractable maximale à "&amp;D121&amp;" kg / PTRA maximal : "&amp;D121+D16&amp;" kg"),"Selon 97/27 : impossible de conserver un PTRA : masse maximale au point d'attelage inférieure aux exigences réglementaires")</f>
        <v>#DIV/0!</v>
      </c>
    </row>
    <row r="123" customFormat="false" ht="12.75" hidden="true" customHeight="false" outlineLevel="0" collapsed="false"/>
    <row r="124" customFormat="false" ht="12.75" hidden="true" customHeight="false" outlineLevel="0" collapsed="false"/>
  </sheetData>
  <sheetProtection algorithmName="SHA-512" hashValue="BN6VIbjlpmkN9DAASlD3UV8TQpVYfZPxWMUBAcLt323TGW/M0+mb0a+zPiqcBNyyw1Sib6KeghmzzMDngzV50A==" saltValue="CQ+8BDnmpwL4QJoRKu12EQ==" spinCount="100000" sheet="true" objects="true" scenarios="true"/>
  <mergeCells count="27">
    <mergeCell ref="A1:H1"/>
    <mergeCell ref="A3:AMI3"/>
    <mergeCell ref="C5:D5"/>
    <mergeCell ref="C6:D6"/>
    <mergeCell ref="C7:D7"/>
    <mergeCell ref="C8:D8"/>
    <mergeCell ref="C9:D9"/>
    <mergeCell ref="C10:D10"/>
    <mergeCell ref="C11:D11"/>
    <mergeCell ref="C12:D12"/>
    <mergeCell ref="B14:D14"/>
    <mergeCell ref="B19:G19"/>
    <mergeCell ref="B35:E35"/>
    <mergeCell ref="F35:G35"/>
    <mergeCell ref="B37:B38"/>
    <mergeCell ref="E37:E38"/>
    <mergeCell ref="B39:B41"/>
    <mergeCell ref="E39:E41"/>
    <mergeCell ref="B44:E44"/>
    <mergeCell ref="B50:D50"/>
    <mergeCell ref="B52:C52"/>
    <mergeCell ref="B53:C53"/>
    <mergeCell ref="B58:C58"/>
    <mergeCell ref="B62:D62"/>
    <mergeCell ref="B63:C64"/>
    <mergeCell ref="B94:D94"/>
    <mergeCell ref="B97:C97"/>
  </mergeCells>
  <conditionalFormatting sqref="B96:D96">
    <cfRule type="expression" priority="2" aboveAverage="0" equalAverage="0" bottom="0" percent="0" rank="0" text="" dxfId="55">
      <formula>$C96&lt;=$D96</formula>
    </cfRule>
    <cfRule type="expression" priority="3" aboveAverage="0" equalAverage="0" bottom="0" percent="0" rank="0" text="" dxfId="56">
      <formula>$C96&gt;$D96</formula>
    </cfRule>
  </conditionalFormatting>
  <conditionalFormatting sqref="B98:D98">
    <cfRule type="expression" priority="4" aboveAverage="0" equalAverage="0" bottom="0" percent="0" rank="0" text="" dxfId="57">
      <formula>$C98&gt;=$D98</formula>
    </cfRule>
    <cfRule type="expression" priority="5" aboveAverage="0" equalAverage="0" bottom="0" percent="0" rank="0" text="" dxfId="58">
      <formula>$C98&lt;$D98</formula>
    </cfRule>
  </conditionalFormatting>
  <conditionalFormatting sqref="C105:E105">
    <cfRule type="cellIs" priority="6" operator="lessThanOrEqual" aboveAverage="0" equalAverage="0" bottom="0" percent="0" rank="0" text="" dxfId="59">
      <formula>C106+1</formula>
    </cfRule>
    <cfRule type="cellIs" priority="7" operator="greaterThan" aboveAverage="0" equalAverage="0" bottom="0" percent="0" rank="0" text="" dxfId="60">
      <formula>C106+1</formula>
    </cfRule>
  </conditionalFormatting>
  <conditionalFormatting sqref="E46:E48">
    <cfRule type="expression" priority="8" aboveAverage="0" equalAverage="0" bottom="0" percent="0" rank="0" text="" dxfId="61">
      <formula>SUM($E$46:$E$48)&lt;&gt;$D$17</formula>
    </cfRule>
    <cfRule type="expression" priority="9" aboveAverage="0" equalAverage="0" bottom="0" percent="0" rank="0" text="" dxfId="62">
      <formula>SUM($E$46:$E$48)=$D$17</formula>
    </cfRule>
  </conditionalFormatting>
  <conditionalFormatting sqref="D64">
    <cfRule type="expression" priority="10" aboveAverage="0" equalAverage="0" bottom="0" percent="0" rank="0" text="" dxfId="63">
      <formula>SUM($D$67:$D$92)&lt;&gt;ROUND($D$60,0)</formula>
    </cfRule>
    <cfRule type="expression" priority="11" aboveAverage="0" equalAverage="0" bottom="0" percent="0" rank="0" text="" dxfId="64">
      <formula>SUM($D$67:$D$92)=ROUND($D$60,0)</formula>
    </cfRule>
  </conditionalFormatting>
  <dataValidations count="2">
    <dataValidation allowBlank="true" errorStyle="stop" operator="equal" showDropDown="false" showErrorMessage="true" showInputMessage="false" sqref="D26" type="list">
      <mc:AlternateContent xmlns:x12ac="http://schemas.microsoft.com/office/spreadsheetml/2011/1/ac" xmlns:mc="http://schemas.openxmlformats.org/markup-compatibility/2006">
        <mc:Choice Requires="x12ac">
          <x12ac:list>0,"0,510",0,"0,155",0,"0,350"</x12ac:list>
        </mc:Choice>
        <mc:Fallback>
          <formula1>"0,0,510,0,0,155,0,0,350"</formula1>
        </mc:Fallback>
      </mc:AlternateContent>
      <formula2>0</formula2>
    </dataValidation>
    <dataValidation allowBlank="true" errorStyle="stop" operator="equal" showDropDown="false" showErrorMessage="true" showInputMessage="false" sqref="D24:D25" type="list">
      <mc:AlternateContent xmlns:x12ac="http://schemas.microsoft.com/office/spreadsheetml/2011/1/ac" xmlns:mc="http://schemas.openxmlformats.org/markup-compatibility/2006">
        <mc:Choice Requires="x12ac">
          <x12ac:list>0,"0,840",0,"0,702"</x12ac:list>
        </mc:Choice>
        <mc:Fallback>
          <formula1>"0,0,840,0,0,702"</formula1>
        </mc:Fallback>
      </mc:AlternateContent>
      <formula2>0</formula2>
    </dataValidation>
  </dataValidation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false"/>
  </sheetPr>
  <dimension ref="A2:Q32"/>
  <sheetViews>
    <sheetView showFormulas="false" showGridLines="true" showRowColHeaders="true" showZeros="true" rightToLeft="false" tabSelected="false" showOutlineSymbols="true" defaultGridColor="true" view="normal" topLeftCell="A1" colorId="64" zoomScale="100" zoomScaleNormal="100" zoomScalePageLayoutView="100" workbookViewId="0">
      <selection pane="topLeft" activeCell="B20" activeCellId="0" sqref="B20"/>
    </sheetView>
  </sheetViews>
  <sheetFormatPr defaultColWidth="10.6875" defaultRowHeight="12.75" zeroHeight="false" outlineLevelRow="0" outlineLevelCol="0"/>
  <sheetData>
    <row r="2" customFormat="false" ht="12.75" hidden="false" customHeight="false" outlineLevel="0" collapsed="false">
      <c r="A2" s="198"/>
      <c r="B2" s="198"/>
      <c r="C2" s="198"/>
      <c r="D2" s="4"/>
      <c r="E2" s="4"/>
      <c r="F2" s="4"/>
      <c r="G2" s="198"/>
      <c r="H2" s="198"/>
      <c r="I2" s="198"/>
      <c r="J2" s="198"/>
      <c r="K2" s="4"/>
      <c r="L2" s="4"/>
      <c r="M2" s="4"/>
      <c r="N2" s="4"/>
      <c r="O2" s="198"/>
      <c r="P2" s="198"/>
      <c r="Q2" s="198"/>
    </row>
    <row r="3" customFormat="false" ht="12.75" hidden="false" customHeight="false" outlineLevel="0" collapsed="false">
      <c r="A3" s="199" t="s">
        <v>203</v>
      </c>
      <c r="B3" s="199"/>
      <c r="C3" s="200" t="s">
        <v>204</v>
      </c>
      <c r="D3" s="4"/>
      <c r="E3" s="4"/>
      <c r="F3" s="4"/>
      <c r="G3" s="198"/>
      <c r="H3" s="198"/>
      <c r="I3" s="198"/>
      <c r="J3" s="198"/>
      <c r="K3" s="4"/>
      <c r="L3" s="4"/>
      <c r="M3" s="4"/>
      <c r="N3" s="4"/>
      <c r="O3" s="198"/>
      <c r="P3" s="198"/>
      <c r="Q3" s="198"/>
    </row>
    <row r="4" customFormat="false" ht="12.75" hidden="false" customHeight="false" outlineLevel="0" collapsed="false">
      <c r="A4" s="201"/>
      <c r="B4" s="201"/>
      <c r="C4" s="201"/>
      <c r="D4" s="4"/>
      <c r="E4" s="4"/>
      <c r="F4" s="4"/>
      <c r="G4" s="198"/>
      <c r="H4" s="198"/>
      <c r="I4" s="198"/>
      <c r="J4" s="198"/>
      <c r="K4" s="4"/>
      <c r="L4" s="4"/>
      <c r="M4" s="4"/>
      <c r="N4" s="4"/>
      <c r="O4" s="198"/>
      <c r="P4" s="198"/>
      <c r="Q4" s="198"/>
    </row>
    <row r="5" customFormat="false" ht="12.75" hidden="false" customHeight="false" outlineLevel="0" collapsed="false">
      <c r="A5" s="201" t="s">
        <v>205</v>
      </c>
      <c r="B5" s="201"/>
      <c r="C5" s="201"/>
      <c r="D5" s="4"/>
      <c r="E5" s="4"/>
      <c r="F5" s="4"/>
      <c r="G5" s="198"/>
      <c r="H5" s="198"/>
      <c r="I5" s="198"/>
      <c r="J5" s="198"/>
      <c r="K5" s="4"/>
      <c r="L5" s="4"/>
      <c r="M5" s="4"/>
      <c r="N5" s="4"/>
      <c r="O5" s="198"/>
      <c r="P5" s="198"/>
      <c r="Q5" s="198"/>
    </row>
    <row r="6" customFormat="false" ht="12.75" hidden="false" customHeight="false" outlineLevel="0" collapsed="false">
      <c r="A6" s="201"/>
      <c r="B6" s="201"/>
      <c r="C6" s="201"/>
      <c r="D6" s="4"/>
      <c r="E6" s="4"/>
      <c r="F6" s="4"/>
      <c r="G6" s="198"/>
      <c r="H6" s="198"/>
      <c r="I6" s="198"/>
      <c r="J6" s="198"/>
      <c r="K6" s="4"/>
      <c r="L6" s="4"/>
      <c r="M6" s="4"/>
      <c r="N6" s="4"/>
      <c r="O6" s="198"/>
      <c r="P6" s="198"/>
      <c r="Q6" s="198"/>
    </row>
    <row r="7" customFormat="false" ht="12.75" hidden="false" customHeight="false" outlineLevel="0" collapsed="false">
      <c r="A7" s="199" t="s">
        <v>206</v>
      </c>
      <c r="B7" s="199"/>
      <c r="C7" s="199"/>
      <c r="D7" s="4"/>
      <c r="E7" s="4"/>
      <c r="F7" s="4"/>
      <c r="G7" s="198"/>
      <c r="H7" s="198"/>
      <c r="I7" s="198"/>
      <c r="J7" s="198"/>
      <c r="K7" s="4"/>
      <c r="L7" s="4"/>
      <c r="M7" s="4"/>
      <c r="N7" s="4"/>
      <c r="O7" s="198"/>
      <c r="P7" s="198"/>
      <c r="Q7" s="198"/>
    </row>
    <row r="8" customFormat="false" ht="12.75" hidden="false" customHeight="false" outlineLevel="0" collapsed="false">
      <c r="A8" s="202" t="s">
        <v>51</v>
      </c>
      <c r="B8" s="202"/>
      <c r="C8" s="202"/>
      <c r="D8" s="4"/>
      <c r="E8" s="4"/>
      <c r="F8" s="4"/>
      <c r="G8" s="198"/>
      <c r="H8" s="198"/>
      <c r="I8" s="198"/>
      <c r="J8" s="203"/>
      <c r="K8" s="200" t="s">
        <v>207</v>
      </c>
      <c r="L8" s="200"/>
      <c r="M8" s="200"/>
      <c r="N8" s="4"/>
      <c r="O8" s="198"/>
      <c r="P8" s="198"/>
      <c r="Q8" s="198"/>
    </row>
    <row r="9" customFormat="false" ht="12.75" hidden="false" customHeight="false" outlineLevel="0" collapsed="false">
      <c r="A9" s="204" t="s">
        <v>208</v>
      </c>
      <c r="B9" s="204" t="s">
        <v>209</v>
      </c>
      <c r="C9" s="204" t="s">
        <v>210</v>
      </c>
      <c r="D9" s="205" t="s">
        <v>211</v>
      </c>
      <c r="E9" s="205"/>
      <c r="F9" s="205"/>
      <c r="G9" s="206" t="s">
        <v>212</v>
      </c>
      <c r="H9" s="206" t="s">
        <v>213</v>
      </c>
      <c r="I9" s="206" t="s">
        <v>214</v>
      </c>
      <c r="J9" s="207"/>
      <c r="K9" s="205" t="s">
        <v>215</v>
      </c>
      <c r="L9" s="205"/>
      <c r="M9" s="205"/>
      <c r="N9" s="208" t="s">
        <v>216</v>
      </c>
      <c r="O9" s="209" t="s">
        <v>217</v>
      </c>
      <c r="P9" s="210" t="s">
        <v>51</v>
      </c>
      <c r="Q9" s="210"/>
    </row>
    <row r="10" customFormat="false" ht="12.75" hidden="false" customHeight="false" outlineLevel="0" collapsed="false">
      <c r="A10" s="204" t="n">
        <v>850</v>
      </c>
      <c r="B10" s="204" t="n">
        <v>80</v>
      </c>
      <c r="C10" s="204" t="n">
        <v>0.8</v>
      </c>
      <c r="D10" s="211" t="n">
        <v>7.35</v>
      </c>
      <c r="E10" s="211"/>
      <c r="F10" s="211"/>
      <c r="G10" s="206" t="n">
        <v>7.35</v>
      </c>
      <c r="H10" s="212" t="n">
        <f aca="false">D10*2</f>
        <v>14.7</v>
      </c>
      <c r="I10" s="212" t="n">
        <f aca="false">D10*3</f>
        <v>22.05</v>
      </c>
      <c r="J10" s="207"/>
      <c r="K10" s="205" t="n">
        <v>13.15</v>
      </c>
      <c r="L10" s="213"/>
      <c r="M10" s="214"/>
      <c r="N10" s="208" t="n">
        <v>11.5</v>
      </c>
      <c r="O10" s="209" t="n">
        <v>1.65</v>
      </c>
      <c r="P10" s="215"/>
      <c r="Q10" s="215"/>
    </row>
    <row r="11" customFormat="false" ht="12.75" hidden="false" customHeight="false" outlineLevel="0" collapsed="false">
      <c r="A11" s="216" t="n">
        <f aca="false">C11*1000</f>
        <v>900</v>
      </c>
      <c r="B11" s="216" t="n">
        <f aca="false">C11*100</f>
        <v>90</v>
      </c>
      <c r="C11" s="216" t="n">
        <v>0.9</v>
      </c>
      <c r="D11" s="211"/>
      <c r="E11" s="211" t="n">
        <v>7.35</v>
      </c>
      <c r="F11" s="211"/>
      <c r="G11" s="212" t="n">
        <v>7.35</v>
      </c>
      <c r="H11" s="212" t="n">
        <f aca="false">E11*2</f>
        <v>14.7</v>
      </c>
      <c r="I11" s="212" t="n">
        <f aca="false">E11*3</f>
        <v>22.05</v>
      </c>
      <c r="J11" s="207"/>
      <c r="K11" s="211"/>
      <c r="L11" s="217" t="n">
        <v>13.15</v>
      </c>
      <c r="M11" s="211"/>
      <c r="N11" s="4" t="n">
        <v>11.5</v>
      </c>
      <c r="O11" s="198" t="n">
        <f aca="false">L11-11.5</f>
        <v>1.65</v>
      </c>
      <c r="P11" s="218" t="n">
        <v>0.9</v>
      </c>
      <c r="Q11" s="218" t="n">
        <v>0.9</v>
      </c>
    </row>
    <row r="12" customFormat="false" ht="13.5" hidden="false" customHeight="false" outlineLevel="0" collapsed="false">
      <c r="A12" s="219" t="n">
        <f aca="false">C12*1000</f>
        <v>950</v>
      </c>
      <c r="B12" s="219" t="n">
        <f aca="false">C12*100</f>
        <v>95</v>
      </c>
      <c r="C12" s="219" t="n">
        <v>0.95</v>
      </c>
      <c r="D12" s="211"/>
      <c r="E12" s="211" t="n">
        <f aca="false">E11+0.35</f>
        <v>7.7</v>
      </c>
      <c r="F12" s="211"/>
      <c r="G12" s="212" t="n">
        <v>7.7</v>
      </c>
      <c r="H12" s="212" t="n">
        <f aca="false">E12*2</f>
        <v>15.4</v>
      </c>
      <c r="I12" s="212" t="n">
        <f aca="false">E12*3</f>
        <v>23.1</v>
      </c>
      <c r="J12" s="207"/>
      <c r="K12" s="211"/>
      <c r="L12" s="217" t="n">
        <f aca="false">L11+0.65</f>
        <v>13.8</v>
      </c>
      <c r="M12" s="220"/>
      <c r="N12" s="4" t="n">
        <v>11.5</v>
      </c>
      <c r="O12" s="198" t="n">
        <f aca="false">L12-11.5</f>
        <v>2.3</v>
      </c>
      <c r="P12" s="218" t="n">
        <v>0.95</v>
      </c>
      <c r="Q12" s="218" t="n">
        <v>0.95</v>
      </c>
    </row>
    <row r="13" customFormat="false" ht="13.5" hidden="false" customHeight="false" outlineLevel="0" collapsed="false">
      <c r="A13" s="219" t="n">
        <f aca="false">C13*1000</f>
        <v>1000</v>
      </c>
      <c r="B13" s="219" t="n">
        <f aca="false">C13*100</f>
        <v>100</v>
      </c>
      <c r="C13" s="219" t="n">
        <v>1</v>
      </c>
      <c r="D13" s="211"/>
      <c r="E13" s="211" t="n">
        <f aca="false">E12+0.35</f>
        <v>8.05</v>
      </c>
      <c r="F13" s="211"/>
      <c r="G13" s="212" t="n">
        <v>8.05</v>
      </c>
      <c r="H13" s="212" t="n">
        <f aca="false">E13*2</f>
        <v>16.1</v>
      </c>
      <c r="I13" s="212" t="n">
        <f aca="false">E13*3</f>
        <v>24.15</v>
      </c>
      <c r="J13" s="207"/>
      <c r="K13" s="211"/>
      <c r="L13" s="217"/>
      <c r="M13" s="217" t="n">
        <v>16</v>
      </c>
      <c r="N13" s="221" t="n">
        <v>11.5</v>
      </c>
      <c r="O13" s="222" t="n">
        <f aca="false">M13-11.5</f>
        <v>4.5</v>
      </c>
      <c r="P13" s="223" t="n">
        <v>1</v>
      </c>
      <c r="Q13" s="218" t="n">
        <v>1</v>
      </c>
    </row>
    <row r="14" customFormat="false" ht="13.5" hidden="false" customHeight="false" outlineLevel="0" collapsed="false">
      <c r="A14" s="219" t="n">
        <f aca="false">C14*1000</f>
        <v>1050</v>
      </c>
      <c r="B14" s="219" t="n">
        <f aca="false">C14*100</f>
        <v>105</v>
      </c>
      <c r="C14" s="219" t="n">
        <v>1.05</v>
      </c>
      <c r="D14" s="211"/>
      <c r="E14" s="211" t="n">
        <f aca="false">E13+0.35</f>
        <v>8.4</v>
      </c>
      <c r="F14" s="211"/>
      <c r="G14" s="212" t="n">
        <v>8.4</v>
      </c>
      <c r="H14" s="212" t="n">
        <f aca="false">E14*2</f>
        <v>16.8</v>
      </c>
      <c r="I14" s="212" t="n">
        <f aca="false">E14*3</f>
        <v>25.2</v>
      </c>
      <c r="J14" s="207"/>
      <c r="K14" s="211"/>
      <c r="L14" s="217"/>
      <c r="M14" s="211" t="n">
        <v>16</v>
      </c>
      <c r="N14" s="4" t="n">
        <v>11.5</v>
      </c>
      <c r="O14" s="198" t="n">
        <f aca="false">M14-11.5</f>
        <v>4.5</v>
      </c>
      <c r="P14" s="218" t="n">
        <v>1.05</v>
      </c>
      <c r="Q14" s="218" t="n">
        <v>1.05</v>
      </c>
    </row>
    <row r="15" customFormat="false" ht="13.5" hidden="false" customHeight="false" outlineLevel="0" collapsed="false">
      <c r="A15" s="219" t="n">
        <f aca="false">C15*1000</f>
        <v>1100</v>
      </c>
      <c r="B15" s="219" t="n">
        <f aca="false">C15*100</f>
        <v>110</v>
      </c>
      <c r="C15" s="219" t="n">
        <v>1.1</v>
      </c>
      <c r="D15" s="211"/>
      <c r="E15" s="211" t="n">
        <f aca="false">E14+0.35</f>
        <v>8.75</v>
      </c>
      <c r="F15" s="211"/>
      <c r="G15" s="212" t="n">
        <v>8.75</v>
      </c>
      <c r="H15" s="212" t="n">
        <f aca="false">E15*2</f>
        <v>17.5</v>
      </c>
      <c r="I15" s="212" t="n">
        <f aca="false">E15*3</f>
        <v>26.25</v>
      </c>
      <c r="J15" s="207"/>
      <c r="K15" s="211"/>
      <c r="L15" s="217"/>
      <c r="M15" s="211" t="n">
        <v>16</v>
      </c>
      <c r="N15" s="221" t="n">
        <v>11.5</v>
      </c>
      <c r="O15" s="222" t="n">
        <f aca="false">M15-11.5</f>
        <v>4.5</v>
      </c>
      <c r="P15" s="223" t="n">
        <v>1.1</v>
      </c>
      <c r="Q15" s="218" t="n">
        <v>1.1</v>
      </c>
    </row>
    <row r="16" customFormat="false" ht="12.75" hidden="false" customHeight="false" outlineLevel="0" collapsed="false">
      <c r="A16" s="219" t="n">
        <f aca="false">C16*1000</f>
        <v>1150</v>
      </c>
      <c r="B16" s="219" t="n">
        <f aca="false">C16*100</f>
        <v>115</v>
      </c>
      <c r="C16" s="219" t="n">
        <v>1.15</v>
      </c>
      <c r="D16" s="211"/>
      <c r="E16" s="211" t="n">
        <f aca="false">E15+0.35</f>
        <v>9.1</v>
      </c>
      <c r="F16" s="211"/>
      <c r="G16" s="212" t="n">
        <v>9.1</v>
      </c>
      <c r="H16" s="212" t="n">
        <f aca="false">E16*2</f>
        <v>18.2</v>
      </c>
      <c r="I16" s="212" t="n">
        <f aca="false">E16*3</f>
        <v>27.3</v>
      </c>
      <c r="J16" s="207"/>
      <c r="K16" s="211"/>
      <c r="L16" s="217"/>
      <c r="M16" s="211" t="n">
        <v>16.4</v>
      </c>
      <c r="N16" s="4" t="n">
        <v>11.5</v>
      </c>
      <c r="O16" s="198" t="n">
        <f aca="false">M16-11.5</f>
        <v>4.9</v>
      </c>
      <c r="P16" s="218" t="n">
        <v>1.15</v>
      </c>
      <c r="Q16" s="218" t="n">
        <v>1.15</v>
      </c>
    </row>
    <row r="17" customFormat="false" ht="12.75" hidden="false" customHeight="false" outlineLevel="0" collapsed="false">
      <c r="A17" s="219" t="n">
        <f aca="false">C17*1000</f>
        <v>1200</v>
      </c>
      <c r="B17" s="219" t="n">
        <f aca="false">C17*100</f>
        <v>120</v>
      </c>
      <c r="C17" s="219" t="n">
        <v>1.2</v>
      </c>
      <c r="D17" s="211"/>
      <c r="E17" s="211" t="n">
        <f aca="false">E16+0.35</f>
        <v>9.45</v>
      </c>
      <c r="F17" s="211"/>
      <c r="G17" s="212" t="n">
        <v>9.45</v>
      </c>
      <c r="H17" s="212" t="n">
        <f aca="false">E17*2</f>
        <v>18.9</v>
      </c>
      <c r="I17" s="212" t="n">
        <f aca="false">E17*3</f>
        <v>28.35</v>
      </c>
      <c r="J17" s="207"/>
      <c r="K17" s="211"/>
      <c r="L17" s="217"/>
      <c r="M17" s="211" t="n">
        <v>17.05</v>
      </c>
      <c r="N17" s="4" t="n">
        <v>11.5</v>
      </c>
      <c r="O17" s="198" t="n">
        <f aca="false">M17-11.5</f>
        <v>5.55</v>
      </c>
      <c r="P17" s="218" t="n">
        <v>1.2</v>
      </c>
      <c r="Q17" s="218" t="n">
        <v>1.2</v>
      </c>
    </row>
    <row r="18" customFormat="false" ht="13.5" hidden="false" customHeight="false" outlineLevel="0" collapsed="false">
      <c r="A18" s="219" t="n">
        <f aca="false">C18*1000</f>
        <v>1250</v>
      </c>
      <c r="B18" s="219" t="n">
        <f aca="false">C18*100</f>
        <v>125</v>
      </c>
      <c r="C18" s="219" t="n">
        <v>1.25</v>
      </c>
      <c r="D18" s="220"/>
      <c r="E18" s="220" t="n">
        <f aca="false">E17+0.35</f>
        <v>9.8</v>
      </c>
      <c r="F18" s="220"/>
      <c r="G18" s="212" t="n">
        <f aca="false">H18-E18</f>
        <v>9.8</v>
      </c>
      <c r="H18" s="212" t="n">
        <f aca="false">E18*2</f>
        <v>19.6</v>
      </c>
      <c r="I18" s="212" t="n">
        <f aca="false">E18*3</f>
        <v>29.4</v>
      </c>
      <c r="J18" s="207"/>
      <c r="K18" s="220"/>
      <c r="L18" s="217"/>
      <c r="M18" s="211" t="n">
        <v>17.7</v>
      </c>
      <c r="N18" s="4" t="n">
        <v>11.5</v>
      </c>
      <c r="O18" s="198" t="n">
        <f aca="false">M18-11.5</f>
        <v>6.2</v>
      </c>
      <c r="P18" s="218" t="n">
        <v>1.25</v>
      </c>
      <c r="Q18" s="218" t="n">
        <v>1.25</v>
      </c>
    </row>
    <row r="19" customFormat="false" ht="13.5" hidden="false" customHeight="false" outlineLevel="0" collapsed="false">
      <c r="A19" s="219" t="n">
        <f aca="false">C19*1000</f>
        <v>1300</v>
      </c>
      <c r="B19" s="219" t="n">
        <f aca="false">C19*100</f>
        <v>130</v>
      </c>
      <c r="C19" s="219" t="n">
        <v>1.3</v>
      </c>
      <c r="D19" s="211"/>
      <c r="E19" s="211" t="n">
        <f aca="false">E18+0.35</f>
        <v>10.15</v>
      </c>
      <c r="F19" s="211"/>
      <c r="G19" s="212" t="n">
        <f aca="false">H19-E19</f>
        <v>10.15</v>
      </c>
      <c r="H19" s="212" t="n">
        <f aca="false">E19*2</f>
        <v>20.3</v>
      </c>
      <c r="I19" s="212" t="n">
        <f aca="false">E19*3</f>
        <v>30.45</v>
      </c>
      <c r="J19" s="224"/>
      <c r="K19" s="211"/>
      <c r="L19" s="217"/>
      <c r="M19" s="217" t="n">
        <v>18.35</v>
      </c>
      <c r="N19" s="225" t="n">
        <v>11.5</v>
      </c>
      <c r="O19" s="226" t="n">
        <f aca="false">M19-11.5</f>
        <v>6.85</v>
      </c>
      <c r="P19" s="227" t="n">
        <v>1.3</v>
      </c>
      <c r="Q19" s="228" t="n">
        <v>1.3</v>
      </c>
    </row>
    <row r="20" customFormat="false" ht="13.5" hidden="false" customHeight="false" outlineLevel="0" collapsed="false">
      <c r="A20" s="216" t="n">
        <f aca="false">C20*1000</f>
        <v>1350</v>
      </c>
      <c r="B20" s="216" t="n">
        <f aca="false">C20*100</f>
        <v>135</v>
      </c>
      <c r="C20" s="216" t="n">
        <v>1.35</v>
      </c>
      <c r="D20" s="229"/>
      <c r="E20" s="229"/>
      <c r="F20" s="229" t="n">
        <v>10.5</v>
      </c>
      <c r="G20" s="212" t="n">
        <v>10.5</v>
      </c>
      <c r="H20" s="212" t="n">
        <v>21</v>
      </c>
      <c r="I20" s="212" t="n">
        <f aca="false">F20*3</f>
        <v>31.5</v>
      </c>
      <c r="J20" s="207"/>
      <c r="K20" s="229"/>
      <c r="L20" s="217"/>
      <c r="M20" s="230" t="n">
        <v>19</v>
      </c>
      <c r="N20" s="225" t="n">
        <v>11.5</v>
      </c>
      <c r="O20" s="226" t="n">
        <f aca="false">M20-11.5</f>
        <v>7.5</v>
      </c>
      <c r="P20" s="227" t="n">
        <v>1.35</v>
      </c>
      <c r="Q20" s="228" t="n">
        <v>1.35</v>
      </c>
    </row>
    <row r="21" customFormat="false" ht="12.75" hidden="false" customHeight="false" outlineLevel="0" collapsed="false">
      <c r="A21" s="219" t="n">
        <f aca="false">C21*1000</f>
        <v>1400</v>
      </c>
      <c r="B21" s="219" t="n">
        <f aca="false">C21*100</f>
        <v>140</v>
      </c>
      <c r="C21" s="219" t="n">
        <v>1.4</v>
      </c>
      <c r="D21" s="211"/>
      <c r="E21" s="211"/>
      <c r="F21" s="211" t="n">
        <v>10.5</v>
      </c>
      <c r="G21" s="212" t="n">
        <v>10.5</v>
      </c>
      <c r="H21" s="212" t="n">
        <v>21</v>
      </c>
      <c r="I21" s="212" t="n">
        <f aca="false">F21*3</f>
        <v>31.5</v>
      </c>
      <c r="J21" s="207"/>
      <c r="K21" s="211"/>
      <c r="L21" s="217"/>
      <c r="M21" s="211" t="n">
        <v>19</v>
      </c>
      <c r="N21" s="4" t="n">
        <v>11.5</v>
      </c>
      <c r="O21" s="198" t="n">
        <f aca="false">M21-11.5</f>
        <v>7.5</v>
      </c>
      <c r="P21" s="218" t="n">
        <v>1.4</v>
      </c>
      <c r="Q21" s="218" t="n">
        <v>1.4</v>
      </c>
    </row>
    <row r="22" customFormat="false" ht="12.75" hidden="false" customHeight="false" outlineLevel="0" collapsed="false">
      <c r="A22" s="219" t="n">
        <f aca="false">C22*1000</f>
        <v>1450</v>
      </c>
      <c r="B22" s="219" t="n">
        <f aca="false">C22*100</f>
        <v>145</v>
      </c>
      <c r="C22" s="219" t="n">
        <v>1.45</v>
      </c>
      <c r="D22" s="211"/>
      <c r="E22" s="211"/>
      <c r="F22" s="211" t="n">
        <v>10.5</v>
      </c>
      <c r="G22" s="212" t="n">
        <v>10.5</v>
      </c>
      <c r="H22" s="212" t="n">
        <v>21</v>
      </c>
      <c r="I22" s="212" t="n">
        <f aca="false">F22*3</f>
        <v>31.5</v>
      </c>
      <c r="J22" s="207"/>
      <c r="K22" s="211"/>
      <c r="L22" s="217"/>
      <c r="M22" s="211" t="n">
        <v>19</v>
      </c>
      <c r="N22" s="4" t="n">
        <v>11.5</v>
      </c>
      <c r="O22" s="198" t="n">
        <f aca="false">M22-11.5</f>
        <v>7.5</v>
      </c>
      <c r="P22" s="218" t="n">
        <v>1.45</v>
      </c>
      <c r="Q22" s="218" t="n">
        <v>1.45</v>
      </c>
    </row>
    <row r="23" customFormat="false" ht="12.75" hidden="false" customHeight="false" outlineLevel="0" collapsed="false">
      <c r="A23" s="219" t="n">
        <f aca="false">C23*1000</f>
        <v>1500</v>
      </c>
      <c r="B23" s="219" t="n">
        <f aca="false">C23*100</f>
        <v>150</v>
      </c>
      <c r="C23" s="219" t="n">
        <v>1.5</v>
      </c>
      <c r="D23" s="211"/>
      <c r="E23" s="211"/>
      <c r="F23" s="211" t="n">
        <v>10.5</v>
      </c>
      <c r="G23" s="212" t="n">
        <v>10.5</v>
      </c>
      <c r="H23" s="212" t="n">
        <v>21</v>
      </c>
      <c r="I23" s="212" t="n">
        <f aca="false">F23*3</f>
        <v>31.5</v>
      </c>
      <c r="J23" s="207"/>
      <c r="K23" s="211"/>
      <c r="L23" s="217"/>
      <c r="M23" s="211" t="n">
        <v>19</v>
      </c>
      <c r="N23" s="4" t="n">
        <v>11.5</v>
      </c>
      <c r="O23" s="198" t="n">
        <f aca="false">M23-11.5</f>
        <v>7.5</v>
      </c>
      <c r="P23" s="218" t="n">
        <v>1.5</v>
      </c>
      <c r="Q23" s="218" t="n">
        <v>1.5</v>
      </c>
    </row>
    <row r="24" customFormat="false" ht="12.75" hidden="false" customHeight="false" outlineLevel="0" collapsed="false">
      <c r="A24" s="219" t="n">
        <f aca="false">C24*1000</f>
        <v>1550</v>
      </c>
      <c r="B24" s="219" t="n">
        <f aca="false">C24*100</f>
        <v>155</v>
      </c>
      <c r="C24" s="219" t="n">
        <v>1.55</v>
      </c>
      <c r="D24" s="211"/>
      <c r="E24" s="211"/>
      <c r="F24" s="211" t="n">
        <v>10.5</v>
      </c>
      <c r="G24" s="212" t="n">
        <v>10.5</v>
      </c>
      <c r="H24" s="212" t="n">
        <v>21</v>
      </c>
      <c r="I24" s="212" t="n">
        <f aca="false">F24*3</f>
        <v>31.5</v>
      </c>
      <c r="J24" s="207"/>
      <c r="K24" s="211"/>
      <c r="L24" s="217"/>
      <c r="M24" s="211" t="n">
        <v>19</v>
      </c>
      <c r="N24" s="4" t="n">
        <v>11.5</v>
      </c>
      <c r="O24" s="198" t="n">
        <f aca="false">M24-11.5</f>
        <v>7.5</v>
      </c>
      <c r="P24" s="218" t="n">
        <v>1.55</v>
      </c>
      <c r="Q24" s="218" t="n">
        <v>1.55</v>
      </c>
    </row>
    <row r="25" customFormat="false" ht="12.75" hidden="false" customHeight="false" outlineLevel="0" collapsed="false">
      <c r="A25" s="219" t="n">
        <f aca="false">C25*1000</f>
        <v>1600</v>
      </c>
      <c r="B25" s="219" t="n">
        <f aca="false">C25*100</f>
        <v>160</v>
      </c>
      <c r="C25" s="219" t="n">
        <v>1.6</v>
      </c>
      <c r="D25" s="211"/>
      <c r="E25" s="211"/>
      <c r="F25" s="211" t="n">
        <v>10.5</v>
      </c>
      <c r="G25" s="212" t="n">
        <v>10.5</v>
      </c>
      <c r="H25" s="212" t="n">
        <v>21</v>
      </c>
      <c r="I25" s="212" t="n">
        <f aca="false">F25*3</f>
        <v>31.5</v>
      </c>
      <c r="J25" s="207"/>
      <c r="K25" s="211"/>
      <c r="L25" s="217"/>
      <c r="M25" s="211" t="n">
        <v>19</v>
      </c>
      <c r="N25" s="4" t="n">
        <v>11.5</v>
      </c>
      <c r="O25" s="198" t="n">
        <f aca="false">M25-11.5</f>
        <v>7.5</v>
      </c>
      <c r="P25" s="218" t="n">
        <v>1.6</v>
      </c>
      <c r="Q25" s="218" t="n">
        <v>1.6</v>
      </c>
    </row>
    <row r="26" customFormat="false" ht="12.75" hidden="false" customHeight="false" outlineLevel="0" collapsed="false">
      <c r="A26" s="219" t="n">
        <f aca="false">C26*1000</f>
        <v>1650</v>
      </c>
      <c r="B26" s="219" t="n">
        <f aca="false">C26*100</f>
        <v>165</v>
      </c>
      <c r="C26" s="219" t="n">
        <v>1.65</v>
      </c>
      <c r="D26" s="211"/>
      <c r="E26" s="211"/>
      <c r="F26" s="211" t="n">
        <v>10.5</v>
      </c>
      <c r="G26" s="212" t="n">
        <v>10.5</v>
      </c>
      <c r="H26" s="212" t="n">
        <v>21</v>
      </c>
      <c r="I26" s="212" t="n">
        <f aca="false">F26*3</f>
        <v>31.5</v>
      </c>
      <c r="J26" s="207"/>
      <c r="K26" s="211"/>
      <c r="L26" s="217"/>
      <c r="M26" s="211" t="n">
        <v>19</v>
      </c>
      <c r="N26" s="4" t="n">
        <v>11.5</v>
      </c>
      <c r="O26" s="198" t="n">
        <f aca="false">M26-11.5</f>
        <v>7.5</v>
      </c>
      <c r="P26" s="218" t="n">
        <v>1.65</v>
      </c>
      <c r="Q26" s="218" t="n">
        <v>1.65</v>
      </c>
    </row>
    <row r="27" customFormat="false" ht="12.75" hidden="false" customHeight="false" outlineLevel="0" collapsed="false">
      <c r="A27" s="219" t="n">
        <f aca="false">C27*1000</f>
        <v>1700</v>
      </c>
      <c r="B27" s="219" t="n">
        <f aca="false">C27*100</f>
        <v>170</v>
      </c>
      <c r="C27" s="219" t="n">
        <v>1.7</v>
      </c>
      <c r="D27" s="211"/>
      <c r="E27" s="211"/>
      <c r="F27" s="211" t="n">
        <v>10.5</v>
      </c>
      <c r="G27" s="212" t="n">
        <v>10.5</v>
      </c>
      <c r="H27" s="212" t="n">
        <v>21</v>
      </c>
      <c r="I27" s="212" t="n">
        <f aca="false">F27*3</f>
        <v>31.5</v>
      </c>
      <c r="J27" s="207"/>
      <c r="K27" s="211"/>
      <c r="L27" s="217"/>
      <c r="M27" s="211" t="n">
        <v>19</v>
      </c>
      <c r="N27" s="4" t="n">
        <v>11.5</v>
      </c>
      <c r="O27" s="198" t="n">
        <f aca="false">M27-11.5</f>
        <v>7.5</v>
      </c>
      <c r="P27" s="218" t="n">
        <v>1.7</v>
      </c>
      <c r="Q27" s="218" t="n">
        <v>1.7</v>
      </c>
    </row>
    <row r="28" customFormat="false" ht="12.75" hidden="false" customHeight="false" outlineLevel="0" collapsed="false">
      <c r="A28" s="219" t="n">
        <f aca="false">C28*1000</f>
        <v>1750</v>
      </c>
      <c r="B28" s="219" t="n">
        <f aca="false">C28*100</f>
        <v>175</v>
      </c>
      <c r="C28" s="219" t="n">
        <v>1.75</v>
      </c>
      <c r="D28" s="211"/>
      <c r="E28" s="211"/>
      <c r="F28" s="211" t="n">
        <v>10.5</v>
      </c>
      <c r="G28" s="212" t="n">
        <v>10.5</v>
      </c>
      <c r="H28" s="212" t="n">
        <v>21</v>
      </c>
      <c r="I28" s="212" t="n">
        <f aca="false">F28*3</f>
        <v>31.5</v>
      </c>
      <c r="J28" s="207"/>
      <c r="K28" s="211"/>
      <c r="L28" s="217"/>
      <c r="M28" s="211" t="n">
        <v>19</v>
      </c>
      <c r="N28" s="4" t="n">
        <v>11.5</v>
      </c>
      <c r="O28" s="198" t="n">
        <f aca="false">M28-11.5</f>
        <v>7.5</v>
      </c>
      <c r="P28" s="218" t="n">
        <v>1.75</v>
      </c>
      <c r="Q28" s="218" t="n">
        <v>1.75</v>
      </c>
    </row>
    <row r="29" customFormat="false" ht="12.75" hidden="false" customHeight="false" outlineLevel="0" collapsed="false">
      <c r="A29" s="216" t="n">
        <f aca="false">C29*1000</f>
        <v>1800</v>
      </c>
      <c r="B29" s="216" t="n">
        <f aca="false">C29*100</f>
        <v>180</v>
      </c>
      <c r="C29" s="216" t="n">
        <v>1.8</v>
      </c>
      <c r="D29" s="211"/>
      <c r="E29" s="211"/>
      <c r="F29" s="211" t="n">
        <v>10.5</v>
      </c>
      <c r="G29" s="212" t="n">
        <v>10.5</v>
      </c>
      <c r="H29" s="212" t="n">
        <v>21</v>
      </c>
      <c r="I29" s="212" t="n">
        <f aca="false">F29*3</f>
        <v>31.5</v>
      </c>
      <c r="J29" s="207"/>
      <c r="K29" s="211"/>
      <c r="L29" s="217"/>
      <c r="M29" s="211" t="n">
        <v>19</v>
      </c>
      <c r="N29" s="4" t="n">
        <v>11.5</v>
      </c>
      <c r="O29" s="198" t="n">
        <f aca="false">M29-11.5</f>
        <v>7.5</v>
      </c>
      <c r="P29" s="218" t="n">
        <v>1.8</v>
      </c>
      <c r="Q29" s="218" t="n">
        <v>1.8</v>
      </c>
    </row>
    <row r="30" customFormat="false" ht="12.75" hidden="false" customHeight="false" outlineLevel="0" collapsed="false">
      <c r="A30" s="231"/>
      <c r="B30" s="231"/>
      <c r="C30" s="231"/>
      <c r="D30" s="4"/>
      <c r="E30" s="4"/>
      <c r="F30" s="4"/>
      <c r="G30" s="198"/>
      <c r="H30" s="198"/>
      <c r="I30" s="198"/>
      <c r="J30" s="203"/>
      <c r="K30" s="4"/>
      <c r="L30" s="4"/>
      <c r="M30" s="4"/>
      <c r="N30" s="4"/>
      <c r="O30" s="198"/>
      <c r="P30" s="198"/>
      <c r="Q30" s="198"/>
    </row>
    <row r="31" customFormat="false" ht="12.75" hidden="false" customHeight="false" outlineLevel="0" collapsed="false">
      <c r="A31" s="198"/>
      <c r="B31" s="198"/>
      <c r="C31" s="198"/>
      <c r="D31" s="198"/>
      <c r="I31" s="201"/>
      <c r="J31" s="198"/>
      <c r="K31" s="198"/>
      <c r="L31" s="198"/>
      <c r="M31" s="198"/>
      <c r="N31" s="198"/>
      <c r="O31" s="198"/>
      <c r="P31" s="198"/>
      <c r="Q31" s="198"/>
    </row>
    <row r="32" customFormat="false" ht="12.75" hidden="false" customHeight="false" outlineLevel="0" collapsed="false">
      <c r="A32" s="107" t="s">
        <v>218</v>
      </c>
    </row>
  </sheetData>
  <sheetProtection algorithmName="SHA-512" hashValue="RQDT4yFqPsA0mmkUD2tgL3+kCNlJpaYtpCgZrk/7f8Cg50ndknYnvMV/6Lu0QUSDICW1r+WNc5jJ+F01W+E9ww==" saltValue="3Xg8ZKS9xz/rGivNj5LdZw==" spinCount="100000" sheet="true" objects="true" scenarios="true"/>
  <mergeCells count="6">
    <mergeCell ref="A7:C7"/>
    <mergeCell ref="A8:C8"/>
    <mergeCell ref="K8:M8"/>
    <mergeCell ref="D9:F9"/>
    <mergeCell ref="K9:M9"/>
    <mergeCell ref="P9:Q9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 filterMode="false">
    <pageSetUpPr fitToPage="true"/>
  </sheetPr>
  <dimension ref="A1:AMJ120"/>
  <sheetViews>
    <sheetView showFormulas="false" showGridLines="false" showRowColHeaders="true" showZeros="true" rightToLeft="false" tabSelected="false" showOutlineSymbols="true" defaultGridColor="true" view="normal" topLeftCell="A1" colorId="64" zoomScale="90" zoomScaleNormal="90" zoomScalePageLayoutView="100" workbookViewId="0">
      <selection pane="topLeft" activeCell="A1" activeCellId="0" sqref="A1"/>
    </sheetView>
  </sheetViews>
  <sheetFormatPr defaultColWidth="11.58984375" defaultRowHeight="12.75" zeroHeight="false" outlineLevelRow="0" outlineLevelCol="0"/>
  <cols>
    <col collapsed="false" customWidth="true" hidden="false" outlineLevel="0" max="1" min="1" style="119" width="3.14"/>
    <col collapsed="false" customWidth="true" hidden="false" outlineLevel="0" max="2" min="2" style="119" width="47.43"/>
    <col collapsed="false" customWidth="true" hidden="false" outlineLevel="0" max="3" min="3" style="119" width="19.71"/>
    <col collapsed="false" customWidth="true" hidden="false" outlineLevel="0" max="4" min="4" style="119" width="36.14"/>
    <col collapsed="false" customWidth="true" hidden="false" outlineLevel="0" max="5" min="5" style="119" width="15.15"/>
    <col collapsed="false" customWidth="true" hidden="false" outlineLevel="0" max="6" min="6" style="119" width="25.42"/>
    <col collapsed="false" customWidth="true" hidden="false" outlineLevel="0" max="7" min="7" style="119" width="21.29"/>
    <col collapsed="false" customWidth="true" hidden="false" outlineLevel="0" max="8" min="8" style="119" width="4.14"/>
    <col collapsed="false" customWidth="true" hidden="true" outlineLevel="0" max="9" min="9" style="119" width="22.14"/>
    <col collapsed="false" customWidth="true" hidden="true" outlineLevel="0" max="10" min="10" style="119" width="18"/>
    <col collapsed="false" customWidth="false" hidden="true" outlineLevel="0" max="1024" min="11" style="119" width="11.57"/>
  </cols>
  <sheetData>
    <row r="1" customFormat="false" ht="40.5" hidden="false" customHeight="true" outlineLevel="0" collapsed="false">
      <c r="A1" s="120" t="s">
        <v>219</v>
      </c>
      <c r="B1" s="120"/>
      <c r="C1" s="120"/>
      <c r="D1" s="120"/>
      <c r="E1" s="120"/>
      <c r="F1" s="120"/>
      <c r="G1" s="120"/>
      <c r="H1" s="120"/>
    </row>
    <row r="3" s="121" customFormat="true" ht="18" hidden="false" customHeight="false" outlineLevel="0" collapsed="false">
      <c r="A3" s="121" t="s">
        <v>179</v>
      </c>
      <c r="AMJ3" s="119"/>
    </row>
    <row r="5" customFormat="false" ht="12.75" hidden="false" customHeight="false" outlineLevel="0" collapsed="false">
      <c r="B5" s="119" t="s">
        <v>15</v>
      </c>
      <c r="C5" s="10"/>
      <c r="D5" s="10"/>
    </row>
    <row r="6" customFormat="false" ht="12.75" hidden="false" customHeight="false" outlineLevel="0" collapsed="false">
      <c r="B6" s="119" t="s">
        <v>16</v>
      </c>
      <c r="C6" s="10"/>
      <c r="D6" s="10"/>
    </row>
    <row r="7" customFormat="false" ht="12.75" hidden="false" customHeight="false" outlineLevel="0" collapsed="false">
      <c r="B7" s="119" t="s">
        <v>105</v>
      </c>
      <c r="C7" s="10"/>
      <c r="D7" s="10"/>
    </row>
    <row r="8" customFormat="false" ht="12.75" hidden="false" customHeight="false" outlineLevel="0" collapsed="false">
      <c r="B8" s="119" t="s">
        <v>106</v>
      </c>
      <c r="C8" s="10"/>
      <c r="D8" s="10"/>
    </row>
    <row r="9" customFormat="false" ht="12.75" hidden="false" customHeight="false" outlineLevel="0" collapsed="false">
      <c r="B9" s="119" t="s">
        <v>107</v>
      </c>
      <c r="C9" s="10"/>
      <c r="D9" s="10"/>
    </row>
    <row r="10" customFormat="false" ht="12.75" hidden="false" customHeight="false" outlineLevel="0" collapsed="false">
      <c r="B10" s="119" t="s">
        <v>108</v>
      </c>
      <c r="C10" s="11"/>
      <c r="D10" s="11"/>
    </row>
    <row r="11" customFormat="false" ht="12.75" hidden="false" customHeight="false" outlineLevel="0" collapsed="false">
      <c r="B11" s="119" t="s">
        <v>21</v>
      </c>
      <c r="C11" s="11"/>
      <c r="D11" s="11"/>
    </row>
    <row r="12" customFormat="false" ht="32.25" hidden="false" customHeight="true" outlineLevel="0" collapsed="false">
      <c r="B12" s="122" t="s">
        <v>22</v>
      </c>
      <c r="C12" s="13"/>
      <c r="D12" s="13"/>
    </row>
    <row r="14" customFormat="false" ht="12.75" hidden="false" customHeight="false" outlineLevel="0" collapsed="false">
      <c r="B14" s="123"/>
      <c r="C14" s="123"/>
      <c r="D14" s="123"/>
    </row>
    <row r="15" customFormat="false" ht="12.75" hidden="false" customHeight="false" outlineLevel="0" collapsed="false">
      <c r="B15" s="124" t="s">
        <v>109</v>
      </c>
      <c r="C15" s="125" t="s">
        <v>110</v>
      </c>
      <c r="D15" s="18"/>
      <c r="F15" s="124" t="s">
        <v>27</v>
      </c>
      <c r="G15" s="19"/>
    </row>
    <row r="16" customFormat="false" ht="12.75" hidden="false" customHeight="false" outlineLevel="0" collapsed="false">
      <c r="B16" s="124" t="s">
        <v>25</v>
      </c>
      <c r="C16" s="125" t="s">
        <v>26</v>
      </c>
      <c r="D16" s="18"/>
      <c r="F16" s="124" t="s">
        <v>30</v>
      </c>
      <c r="G16" s="19"/>
    </row>
    <row r="17" customFormat="false" ht="12.75" hidden="false" customHeight="false" outlineLevel="0" collapsed="false">
      <c r="B17" s="126" t="s">
        <v>111</v>
      </c>
      <c r="C17" s="125" t="s">
        <v>29</v>
      </c>
      <c r="D17" s="21"/>
      <c r="F17" s="124" t="s">
        <v>32</v>
      </c>
      <c r="G17" s="127" t="n">
        <f aca="false">G16*G15</f>
        <v>0</v>
      </c>
    </row>
    <row r="18" customFormat="false" ht="12.75" hidden="false" customHeight="false" outlineLevel="0" collapsed="false">
      <c r="B18" s="128"/>
      <c r="C18" s="129"/>
      <c r="D18" s="130"/>
    </row>
    <row r="19" customFormat="false" ht="12.75" hidden="false" customHeight="false" outlineLevel="0" collapsed="false">
      <c r="B19" s="131" t="s">
        <v>112</v>
      </c>
      <c r="C19" s="131"/>
      <c r="D19" s="131"/>
      <c r="E19" s="131"/>
      <c r="F19" s="131"/>
      <c r="G19" s="131"/>
    </row>
    <row r="20" customFormat="false" ht="12.75" hidden="false" customHeight="false" outlineLevel="0" collapsed="false">
      <c r="B20" s="124" t="s">
        <v>34</v>
      </c>
      <c r="C20" s="26"/>
      <c r="G20" s="132"/>
    </row>
    <row r="21" customFormat="false" ht="12.75" hidden="false" customHeight="false" outlineLevel="0" collapsed="false">
      <c r="B21" s="124" t="s">
        <v>35</v>
      </c>
      <c r="C21" s="26"/>
      <c r="G21" s="132"/>
    </row>
    <row r="22" customFormat="false" ht="12.75" hidden="false" customHeight="false" outlineLevel="0" collapsed="false">
      <c r="B22" s="133"/>
      <c r="C22" s="134"/>
      <c r="G22" s="132"/>
    </row>
    <row r="23" customFormat="false" ht="25.5" hidden="false" customHeight="false" outlineLevel="0" collapsed="false">
      <c r="B23" s="28"/>
      <c r="C23" s="30" t="s">
        <v>36</v>
      </c>
      <c r="D23" s="31" t="s">
        <v>113</v>
      </c>
      <c r="E23" s="32" t="s">
        <v>192</v>
      </c>
      <c r="F23" s="32" t="s">
        <v>193</v>
      </c>
      <c r="G23" s="86" t="s">
        <v>38</v>
      </c>
    </row>
    <row r="24" customFormat="false" ht="12.75" hidden="false" customHeight="false" outlineLevel="0" collapsed="false">
      <c r="B24" s="14" t="s">
        <v>194</v>
      </c>
      <c r="C24" s="37"/>
      <c r="D24" s="87" t="n">
        <v>0.84</v>
      </c>
      <c r="E24" s="39"/>
      <c r="F24" s="64" t="str">
        <f aca="false">IF(G42="","",E24-C$113)</f>
        <v/>
      </c>
      <c r="G24" s="40"/>
    </row>
    <row r="25" customFormat="false" ht="12.75" hidden="false" customHeight="false" outlineLevel="0" collapsed="false">
      <c r="B25" s="14" t="s">
        <v>195</v>
      </c>
      <c r="C25" s="37"/>
      <c r="D25" s="87" t="n">
        <v>0.702</v>
      </c>
      <c r="E25" s="39"/>
      <c r="F25" s="64" t="str">
        <f aca="false">IF(G42="","",E25-C$113)</f>
        <v/>
      </c>
      <c r="G25" s="40"/>
    </row>
    <row r="26" customFormat="false" ht="12.75" hidden="false" customHeight="false" outlineLevel="0" collapsed="false">
      <c r="B26" s="14" t="s">
        <v>116</v>
      </c>
      <c r="C26" s="37"/>
      <c r="D26" s="87" t="n">
        <v>0.51</v>
      </c>
      <c r="E26" s="39"/>
      <c r="F26" s="64" t="str">
        <f aca="false">IF(G42="","",E26-C$113)</f>
        <v/>
      </c>
      <c r="G26" s="40"/>
    </row>
    <row r="27" customFormat="false" ht="12.75" hidden="false" customHeight="false" outlineLevel="0" collapsed="false">
      <c r="B27" s="14" t="s">
        <v>117</v>
      </c>
      <c r="C27" s="37"/>
      <c r="D27" s="38" t="n">
        <v>1.09</v>
      </c>
      <c r="E27" s="39"/>
      <c r="F27" s="64" t="str">
        <f aca="false">IF(G42="","",E27-C$113)</f>
        <v/>
      </c>
      <c r="G27" s="40"/>
    </row>
    <row r="28" customFormat="false" ht="12.75" hidden="false" customHeight="false" outlineLevel="0" collapsed="false">
      <c r="B28" s="133"/>
      <c r="C28" s="134"/>
      <c r="G28" s="132"/>
    </row>
    <row r="29" customFormat="false" ht="12.75" hidden="false" customHeight="false" outlineLevel="0" collapsed="false">
      <c r="B29" s="133"/>
      <c r="C29" s="125" t="s">
        <v>119</v>
      </c>
      <c r="D29" s="125" t="s">
        <v>120</v>
      </c>
      <c r="E29" s="125" t="s">
        <v>45</v>
      </c>
      <c r="G29" s="132"/>
    </row>
    <row r="30" customFormat="false" ht="12.75" hidden="false" customHeight="false" outlineLevel="0" collapsed="false">
      <c r="B30" s="124" t="s">
        <v>121</v>
      </c>
      <c r="C30" s="140" t="str">
        <f aca="false">IF(G42="","",(0.9-G24)*C24*D24*(G42-F24)/G42+(0.9-G25)*C25*D25*(G42-F25)/G42)</f>
        <v/>
      </c>
      <c r="D30" s="140" t="str">
        <f aca="false">IF(G42="","",E30-C30)</f>
        <v/>
      </c>
      <c r="E30" s="140" t="n">
        <f aca="false">(0.9-G24)*C24*D24+(0.9-G25)*C25*D25</f>
        <v>0</v>
      </c>
      <c r="G30" s="132"/>
    </row>
    <row r="31" customFormat="false" ht="12.75" hidden="false" customHeight="false" outlineLevel="0" collapsed="false">
      <c r="B31" s="124" t="s">
        <v>122</v>
      </c>
      <c r="C31" s="140" t="str">
        <f aca="false">IF(G42="","",E31*(G42-F26)/G42)</f>
        <v/>
      </c>
      <c r="D31" s="140" t="str">
        <f aca="false">IF(G42="","",E31-C31)</f>
        <v/>
      </c>
      <c r="E31" s="140" t="n">
        <f aca="false">(0.9-G26)*C26*D26</f>
        <v>0</v>
      </c>
      <c r="G31" s="132"/>
    </row>
    <row r="32" customFormat="false" ht="12.75" hidden="false" customHeight="false" outlineLevel="0" collapsed="false">
      <c r="B32" s="124" t="s">
        <v>123</v>
      </c>
      <c r="C32" s="140" t="str">
        <f aca="false">IF(G42="","",E32*(G42-F26)/G42)</f>
        <v/>
      </c>
      <c r="D32" s="140" t="str">
        <f aca="false">IF(G42="","",E32-C32)</f>
        <v/>
      </c>
      <c r="E32" s="140" t="n">
        <f aca="false">(1-G27)*C27*D27</f>
        <v>0</v>
      </c>
      <c r="G32" s="132"/>
    </row>
    <row r="33" customFormat="false" ht="12.75" hidden="false" customHeight="false" outlineLevel="0" collapsed="false">
      <c r="B33" s="141" t="s">
        <v>124</v>
      </c>
      <c r="C33" s="142" t="str">
        <f aca="false">IF(G42="","",C32+C31+C30+C20)</f>
        <v/>
      </c>
      <c r="D33" s="142" t="str">
        <f aca="false">IF(G42="","",D32+D31+D30+C21)</f>
        <v/>
      </c>
      <c r="E33" s="142" t="n">
        <f aca="false">E32+E31+E30+C20+C21</f>
        <v>0</v>
      </c>
      <c r="F33" s="187"/>
      <c r="G33" s="143"/>
    </row>
    <row r="34" customFormat="false" ht="12.75" hidden="false" customHeight="false" outlineLevel="0" collapsed="false">
      <c r="B34" s="128"/>
      <c r="C34" s="129"/>
      <c r="D34" s="130"/>
    </row>
    <row r="35" customFormat="false" ht="12.75" hidden="false" customHeight="false" outlineLevel="0" collapsed="false">
      <c r="B35" s="49" t="s">
        <v>47</v>
      </c>
      <c r="C35" s="49"/>
      <c r="D35" s="49"/>
      <c r="E35" s="49"/>
      <c r="F35" s="131" t="s">
        <v>48</v>
      </c>
      <c r="G35" s="131"/>
    </row>
    <row r="36" customFormat="false" ht="12.75" hidden="false" customHeight="false" outlineLevel="0" collapsed="false">
      <c r="D36" s="125" t="s">
        <v>125</v>
      </c>
      <c r="E36" s="125" t="s">
        <v>50</v>
      </c>
      <c r="G36" s="125" t="s">
        <v>126</v>
      </c>
    </row>
    <row r="37" customFormat="false" ht="12.75" hidden="false" customHeight="false" outlineLevel="0" collapsed="false">
      <c r="B37" s="136" t="s">
        <v>52</v>
      </c>
      <c r="C37" s="144" t="s">
        <v>127</v>
      </c>
      <c r="D37" s="18"/>
      <c r="E37" s="145" t="n">
        <f aca="false">D37+D38</f>
        <v>0</v>
      </c>
      <c r="F37" s="128"/>
    </row>
    <row r="38" customFormat="false" ht="12.75" hidden="false" customHeight="false" outlineLevel="0" collapsed="false">
      <c r="B38" s="136"/>
      <c r="C38" s="119" t="str">
        <f aca="false">IF(ISBLANK(D38),"","Essieu 2")</f>
        <v/>
      </c>
      <c r="D38" s="18"/>
      <c r="E38" s="145"/>
      <c r="F38" s="146" t="str">
        <f aca="false">IF(COUNT(D37:D38)&gt;1,"1-2 : Essieu 1 à essieu 2","")</f>
        <v/>
      </c>
      <c r="G38" s="19"/>
    </row>
    <row r="39" customFormat="false" ht="12.75" hidden="false" customHeight="false" outlineLevel="0" collapsed="false">
      <c r="B39" s="136" t="s">
        <v>53</v>
      </c>
      <c r="C39" s="148" t="str">
        <f aca="false">"Essieu " &amp; MAX(2,COUNT(D37:D38)+1)</f>
        <v>Essieu 2</v>
      </c>
      <c r="D39" s="54"/>
      <c r="E39" s="149" t="n">
        <f aca="false">D39+D40+D41</f>
        <v>0</v>
      </c>
      <c r="F39" s="150" t="str">
        <f aca="false">IF(COUNT(D37:D38)&gt;1,"2-3 : Essieu 2 à essieu 3","1-2 : Essieu 1 à essieu 2")</f>
        <v>1-2 : Essieu 1 à essieu 2</v>
      </c>
      <c r="G39" s="19"/>
    </row>
    <row r="40" customFormat="false" ht="12.75" hidden="false" customHeight="false" outlineLevel="0" collapsed="false">
      <c r="B40" s="136"/>
      <c r="C40" s="124" t="str">
        <f aca="false">IF(ISBLANK(D40),"",_xlfn.CONCAT("Essieu ",RIGHT(C39)+1))</f>
        <v/>
      </c>
      <c r="D40" s="18"/>
      <c r="E40" s="149"/>
      <c r="F40" s="124" t="str">
        <f aca="false">IF(ISBLANK(D40),"",IF(COUNT(D37:D38)&gt;1,"3-4 : Essieu 3 à essieu 4","2-3 : Essieu 2 à essieu 3"))</f>
        <v/>
      </c>
      <c r="G40" s="19"/>
    </row>
    <row r="41" customFormat="false" ht="12.75" hidden="false" customHeight="false" outlineLevel="0" collapsed="false">
      <c r="B41" s="136"/>
      <c r="C41" s="151" t="str">
        <f aca="false">IF(ISBLANK(D41),"",_xlfn.CONCAT("Essieu ",RIGHT(C39)+2))</f>
        <v/>
      </c>
      <c r="D41" s="56"/>
      <c r="E41" s="149"/>
      <c r="F41" s="119" t="str">
        <f aca="false">IF(ISBLANK(D41),"",IF(COUNT(D37:D38)&gt;1,"4-5 : Essieu 4 à essieu 5","3-4 : Essieu 3 à essieu 4"))</f>
        <v/>
      </c>
      <c r="G41" s="19"/>
    </row>
    <row r="42" customFormat="false" ht="12.75" hidden="false" customHeight="false" outlineLevel="0" collapsed="false">
      <c r="F42" s="152" t="s">
        <v>54</v>
      </c>
      <c r="G42" s="153" t="str">
        <f aca="false">IF(ISBLANK(D37),"",G38+G39+(G40*D40+(G40+G41)*D41)/(D39+D40+D41)-(D38/(D37+D38)*G38))</f>
        <v/>
      </c>
    </row>
    <row r="43" customFormat="false" ht="12.75" hidden="false" customHeight="false" outlineLevel="0" collapsed="false">
      <c r="F43" s="154"/>
      <c r="G43" s="155"/>
    </row>
    <row r="44" customFormat="false" ht="12.75" hidden="false" customHeight="false" outlineLevel="0" collapsed="false">
      <c r="B44" s="131" t="s">
        <v>134</v>
      </c>
      <c r="C44" s="131"/>
      <c r="D44" s="131"/>
      <c r="E44" s="131"/>
      <c r="F44" s="154"/>
      <c r="G44" s="155"/>
    </row>
    <row r="45" customFormat="false" ht="25.5" hidden="false" customHeight="false" outlineLevel="0" collapsed="false">
      <c r="B45" s="156" t="s">
        <v>135</v>
      </c>
      <c r="C45" s="137" t="s">
        <v>196</v>
      </c>
      <c r="D45" s="192" t="s">
        <v>197</v>
      </c>
      <c r="E45" s="137" t="s">
        <v>137</v>
      </c>
      <c r="F45" s="154"/>
      <c r="G45" s="155"/>
    </row>
    <row r="46" customFormat="false" ht="12.75" hidden="false" customHeight="false" outlineLevel="0" collapsed="false">
      <c r="B46" s="156" t="s">
        <v>138</v>
      </c>
      <c r="C46" s="19" t="n">
        <v>0</v>
      </c>
      <c r="D46" s="158" t="e">
        <f aca="false">C46-C$88</f>
        <v>#DIV/0!</v>
      </c>
      <c r="E46" s="10"/>
      <c r="F46" s="154"/>
      <c r="G46" s="155"/>
    </row>
    <row r="47" customFormat="false" ht="12.75" hidden="false" customHeight="false" outlineLevel="0" collapsed="false">
      <c r="B47" s="156" t="s">
        <v>139</v>
      </c>
      <c r="C47" s="19"/>
      <c r="D47" s="158" t="e">
        <f aca="false">C47-C$88</f>
        <v>#DIV/0!</v>
      </c>
      <c r="E47" s="10"/>
      <c r="F47" s="154"/>
      <c r="G47" s="155"/>
    </row>
    <row r="48" customFormat="false" ht="12.75" hidden="false" customHeight="false" outlineLevel="0" collapsed="false">
      <c r="B48" s="156" t="s">
        <v>140</v>
      </c>
      <c r="C48" s="19"/>
      <c r="D48" s="158" t="e">
        <f aca="false">C48-C$88</f>
        <v>#DIV/0!</v>
      </c>
      <c r="E48" s="10"/>
      <c r="F48" s="154"/>
      <c r="G48" s="155"/>
    </row>
    <row r="49" customFormat="false" ht="12.75" hidden="false" customHeight="false" outlineLevel="0" collapsed="false">
      <c r="F49" s="154"/>
      <c r="G49" s="155"/>
    </row>
    <row r="50" customFormat="false" ht="12.75" hidden="false" customHeight="false" outlineLevel="0" collapsed="false">
      <c r="B50" s="131" t="s">
        <v>148</v>
      </c>
      <c r="C50" s="131"/>
      <c r="D50" s="131"/>
      <c r="F50" s="154"/>
      <c r="G50" s="155"/>
    </row>
    <row r="51" customFormat="false" ht="12.75" hidden="false" customHeight="false" outlineLevel="0" collapsed="false">
      <c r="B51" s="124" t="s">
        <v>149</v>
      </c>
      <c r="C51" s="125" t="s">
        <v>150</v>
      </c>
      <c r="D51" s="18"/>
    </row>
    <row r="52" customFormat="false" ht="12.75" hidden="false" customHeight="false" outlineLevel="0" collapsed="false">
      <c r="B52" s="144" t="s">
        <v>151</v>
      </c>
      <c r="C52" s="144"/>
      <c r="D52" s="39"/>
    </row>
    <row r="53" customFormat="false" ht="12.75" hidden="false" customHeight="false" outlineLevel="0" collapsed="false">
      <c r="B53" s="144" t="s">
        <v>152</v>
      </c>
      <c r="C53" s="144"/>
      <c r="D53" s="158" t="e">
        <f aca="false">D52+G40+G41-C87</f>
        <v>#DIV/0!</v>
      </c>
    </row>
    <row r="54" customFormat="false" ht="12.75" hidden="false" customHeight="false" outlineLevel="0" collapsed="false">
      <c r="B54" s="144" t="s">
        <v>153</v>
      </c>
      <c r="C54" s="144"/>
      <c r="D54" s="158" t="e">
        <f aca="false">D53+G42</f>
        <v>#DIV/0!</v>
      </c>
    </row>
    <row r="55" customFormat="false" ht="12.75" hidden="false" customHeight="false" outlineLevel="0" collapsed="false">
      <c r="B55" s="144" t="s">
        <v>220</v>
      </c>
      <c r="C55" s="144"/>
      <c r="D55" s="39"/>
    </row>
    <row r="56" customFormat="false" ht="12.75" hidden="false" customHeight="false" outlineLevel="0" collapsed="false">
      <c r="B56" s="159" t="s">
        <v>57</v>
      </c>
      <c r="C56" s="124"/>
      <c r="D56" s="39"/>
    </row>
    <row r="58" customFormat="false" ht="12.75" hidden="false" customHeight="false" outlineLevel="0" collapsed="false">
      <c r="B58" s="131" t="s">
        <v>184</v>
      </c>
      <c r="C58" s="131"/>
      <c r="D58" s="131"/>
    </row>
    <row r="59" customFormat="false" ht="12.75" hidden="false" customHeight="false" outlineLevel="0" collapsed="false">
      <c r="B59" s="131"/>
      <c r="C59" s="164" t="s">
        <v>93</v>
      </c>
      <c r="D59" s="165" t="s">
        <v>94</v>
      </c>
    </row>
    <row r="60" customFormat="false" ht="12.75" hidden="false" customHeight="false" outlineLevel="0" collapsed="false">
      <c r="B60" s="136" t="s">
        <v>185</v>
      </c>
      <c r="C60" s="166" t="n">
        <f aca="false">D17</f>
        <v>0</v>
      </c>
      <c r="D60" s="166" t="n">
        <f aca="false">IF(D15&gt;3500,9,7)</f>
        <v>7</v>
      </c>
    </row>
    <row r="61" customFormat="false" ht="24.75" hidden="false" customHeight="true" outlineLevel="0" collapsed="false">
      <c r="B61" s="161" t="s">
        <v>186</v>
      </c>
      <c r="C61" s="161"/>
      <c r="D61" s="69"/>
    </row>
    <row r="62" customFormat="false" ht="12.75" hidden="false" customHeight="false" outlineLevel="0" collapsed="false">
      <c r="B62" s="136" t="s">
        <v>95</v>
      </c>
      <c r="C62" s="167" t="e">
        <f aca="false">D15-C33-D33-(D17-1)*68-75+D61</f>
        <v>#VALUE!</v>
      </c>
      <c r="D62" s="168" t="n">
        <f aca="false">IF(D17&lt;2,100,IF(D17&lt;4,150,68*(D17-1)))</f>
        <v>100</v>
      </c>
    </row>
    <row r="64" customFormat="false" ht="12.75" hidden="false" customHeight="false" outlineLevel="0" collapsed="false">
      <c r="B64" s="128"/>
      <c r="C64" s="169" t="s">
        <v>52</v>
      </c>
      <c r="D64" s="169" t="s">
        <v>53</v>
      </c>
      <c r="E64" s="169" t="s">
        <v>45</v>
      </c>
    </row>
    <row r="65" customFormat="false" ht="12.75" hidden="false" customHeight="false" outlineLevel="0" collapsed="false">
      <c r="B65" s="124" t="s">
        <v>124</v>
      </c>
      <c r="C65" s="167" t="str">
        <f aca="false">C33</f>
        <v/>
      </c>
      <c r="D65" s="162" t="str">
        <f aca="false">D33</f>
        <v/>
      </c>
      <c r="E65" s="167" t="n">
        <f aca="false">E33</f>
        <v>0</v>
      </c>
    </row>
    <row r="66" customFormat="false" ht="12.75" hidden="false" customHeight="false" outlineLevel="0" collapsed="false">
      <c r="B66" s="124" t="s">
        <v>160</v>
      </c>
      <c r="C66" s="167" t="e">
        <f aca="false">(SUMPRODUCT(G42-D46:D48,E46:E48)*75)/G42</f>
        <v>#VALUE!</v>
      </c>
      <c r="D66" s="162" t="e">
        <f aca="false">75*SUMPRODUCT(D46:D48,E46:E48)/G42</f>
        <v>#DIV/0!</v>
      </c>
      <c r="E66" s="167" t="e">
        <f aca="false">D66+C66</f>
        <v>#DIV/0!</v>
      </c>
    </row>
    <row r="67" customFormat="false" ht="12.75" hidden="false" customHeight="false" outlineLevel="0" collapsed="false">
      <c r="B67" s="124" t="s">
        <v>161</v>
      </c>
      <c r="C67" s="162" t="e">
        <f aca="false">D51*(G42-D54)/G42</f>
        <v>#VALUE!</v>
      </c>
      <c r="D67" s="162" t="e">
        <f aca="false">D51*D54/G42</f>
        <v>#DIV/0!</v>
      </c>
      <c r="E67" s="162" t="e">
        <f aca="false">D67+C67</f>
        <v>#DIV/0!</v>
      </c>
    </row>
    <row r="68" customFormat="false" ht="12.75" hidden="false" customHeight="false" outlineLevel="0" collapsed="false">
      <c r="B68" s="146" t="s">
        <v>100</v>
      </c>
      <c r="C68" s="232" t="n">
        <f aca="false">E37</f>
        <v>0</v>
      </c>
      <c r="D68" s="232" t="n">
        <f aca="false">E39</f>
        <v>0</v>
      </c>
      <c r="E68" s="232" t="n">
        <f aca="false">D16</f>
        <v>0</v>
      </c>
    </row>
    <row r="69" customFormat="false" ht="12.75" hidden="false" customHeight="false" outlineLevel="0" collapsed="false">
      <c r="B69" s="170" t="s">
        <v>221</v>
      </c>
      <c r="C69" s="171" t="e">
        <f aca="false">C68-SUM(C65:C67)</f>
        <v>#VALUE!</v>
      </c>
      <c r="D69" s="171" t="e">
        <f aca="false">D68-SUM(D65:D67)</f>
        <v>#DIV/0!</v>
      </c>
      <c r="E69" s="171" t="e">
        <f aca="false">E68-SUM(E65:E67)</f>
        <v>#DIV/0!</v>
      </c>
    </row>
    <row r="70" customFormat="false" ht="12.75" hidden="false" customHeight="false" outlineLevel="0" collapsed="false">
      <c r="B70" s="170" t="s">
        <v>222</v>
      </c>
      <c r="C70" s="171" t="e">
        <f aca="false">0.2*D15-SUM(C65:C67)</f>
        <v>#VALUE!</v>
      </c>
      <c r="D70" s="171"/>
      <c r="E70" s="171"/>
    </row>
    <row r="72" customFormat="false" ht="14.25" hidden="false" customHeight="true" outlineLevel="0" collapsed="false">
      <c r="B72" s="233" t="s">
        <v>223</v>
      </c>
      <c r="C72" s="233"/>
      <c r="D72" s="233"/>
      <c r="E72" s="233"/>
      <c r="F72" s="233"/>
    </row>
    <row r="73" customFormat="false" ht="14.25" hidden="false" customHeight="true" outlineLevel="0" collapsed="false">
      <c r="B73" s="234" t="s">
        <v>224</v>
      </c>
      <c r="C73" s="234"/>
      <c r="D73" s="234"/>
      <c r="E73" s="234"/>
      <c r="F73" s="235"/>
    </row>
    <row r="74" customFormat="false" ht="25.5" hidden="false" customHeight="false" outlineLevel="0" collapsed="false">
      <c r="B74" s="128"/>
      <c r="C74" s="14"/>
      <c r="D74" s="137" t="s">
        <v>225</v>
      </c>
      <c r="E74" s="137" t="s">
        <v>226</v>
      </c>
      <c r="F74" s="137" t="s">
        <v>227</v>
      </c>
      <c r="G74" s="236"/>
    </row>
    <row r="75" customFormat="false" ht="12.75" hidden="false" customHeight="false" outlineLevel="0" collapsed="false">
      <c r="B75" s="128"/>
      <c r="C75" s="237" t="s">
        <v>228</v>
      </c>
      <c r="D75" s="238" t="e">
        <f aca="false">E75+C$87-G$40-G$41</f>
        <v>#VALUE!</v>
      </c>
      <c r="E75" s="239" t="e">
        <f aca="false">MAX(MAX(E80,C94),0)</f>
        <v>#VALUE!</v>
      </c>
      <c r="F75" s="239" t="e">
        <f aca="false">2*(D$55-D$56-E75)</f>
        <v>#VALUE!</v>
      </c>
      <c r="G75" s="236"/>
    </row>
    <row r="76" customFormat="false" ht="12.75" hidden="false" customHeight="false" outlineLevel="0" collapsed="false">
      <c r="B76" s="128"/>
      <c r="C76" s="237" t="s">
        <v>229</v>
      </c>
      <c r="D76" s="239" t="e">
        <f aca="false">MAX(MIN(E81,C94)+C$87-G$40-G$41,0)</f>
        <v>#DIV/0!</v>
      </c>
      <c r="E76" s="239" t="e">
        <f aca="false">D76-C$87+G$40+G$41</f>
        <v>#DIV/0!</v>
      </c>
      <c r="F76" s="239" t="e">
        <f aca="false">2*(D$55-D$56-E76)</f>
        <v>#DIV/0!</v>
      </c>
      <c r="G76" s="236"/>
    </row>
    <row r="77" customFormat="false" ht="12.75" hidden="false" customHeight="false" outlineLevel="0" collapsed="false">
      <c r="B77" s="128"/>
      <c r="C77" s="240"/>
      <c r="D77" s="241"/>
      <c r="E77" s="241"/>
      <c r="F77" s="242"/>
      <c r="G77" s="236"/>
    </row>
    <row r="78" customFormat="false" ht="12.75" hidden="false" customHeight="false" outlineLevel="0" collapsed="false">
      <c r="B78" s="52" t="s">
        <v>230</v>
      </c>
      <c r="C78" s="237" t="s">
        <v>228</v>
      </c>
      <c r="D78" s="239" t="e">
        <f aca="false">G42*C69/E69</f>
        <v>#VALUE!</v>
      </c>
      <c r="E78" s="239" t="e">
        <f aca="false">D78-C$87+G$40+G$41</f>
        <v>#VALUE!</v>
      </c>
      <c r="F78" s="239" t="e">
        <f aca="false">2*(D$55-D$56-E78)</f>
        <v>#VALUE!</v>
      </c>
    </row>
    <row r="79" customFormat="false" ht="12.75" hidden="false" customHeight="false" outlineLevel="0" collapsed="false">
      <c r="B79" s="14"/>
      <c r="C79" s="237" t="s">
        <v>229</v>
      </c>
      <c r="D79" s="239" t="e">
        <f aca="false">IF(D78-G42*(E69-D69)/E69&lt;D78-G42*C70/E69,G42*(E69-D69)/E69,G42*C70/E69)</f>
        <v>#DIV/0!</v>
      </c>
      <c r="E79" s="239" t="e">
        <f aca="false">D79-C$87+G$40+G$41</f>
        <v>#DIV/0!</v>
      </c>
      <c r="F79" s="239" t="e">
        <f aca="false">2*(D$55-D$56-E79)</f>
        <v>#DIV/0!</v>
      </c>
    </row>
    <row r="80" customFormat="false" ht="12.75" hidden="false" customHeight="false" outlineLevel="0" collapsed="false">
      <c r="B80" s="136" t="s">
        <v>231</v>
      </c>
      <c r="C80" s="237" t="s">
        <v>228</v>
      </c>
      <c r="D80" s="239" t="e">
        <f aca="false">G42*(C68-C65-C66)/(E68-E65-E66)</f>
        <v>#VALUE!</v>
      </c>
      <c r="E80" s="239" t="e">
        <f aca="false">D80-C$87+G$40+G$41</f>
        <v>#VALUE!</v>
      </c>
      <c r="F80" s="239" t="e">
        <f aca="false">2*(D$55-D$56-E80)</f>
        <v>#VALUE!</v>
      </c>
    </row>
    <row r="81" customFormat="false" ht="12.75" hidden="false" customHeight="false" outlineLevel="0" collapsed="false">
      <c r="B81" s="156"/>
      <c r="C81" s="237" t="s">
        <v>229</v>
      </c>
      <c r="D81" s="239" t="e">
        <f aca="false">IF(D80-G42*(E68-E65-E66-D68+D65+D66)/(E68-E66-E65)&lt;D80-G42*C70/(E68-E66-E65),G42*(E68-E65-E66-D68+D65+D66)/(E68-E66-E65),G42*C70/(E68-E66-E65))</f>
        <v>#DIV/0!</v>
      </c>
      <c r="E81" s="239" t="e">
        <f aca="false">D81-C$87+G$40+G$41</f>
        <v>#DIV/0!</v>
      </c>
      <c r="F81" s="239" t="e">
        <f aca="false">2*(D$55-D$56-E81)</f>
        <v>#DIV/0!</v>
      </c>
    </row>
    <row r="86" customFormat="false" ht="12.75" hidden="true" customHeight="false" outlineLevel="0" collapsed="false">
      <c r="B86" s="119" t="s">
        <v>170</v>
      </c>
      <c r="C86" s="119" t="e">
        <f aca="false">D40/(D39+D40)*G40</f>
        <v>#DIV/0!</v>
      </c>
    </row>
    <row r="87" customFormat="false" ht="12.75" hidden="true" customHeight="false" outlineLevel="0" collapsed="false">
      <c r="B87" s="119" t="s">
        <v>171</v>
      </c>
      <c r="C87" s="119" t="e">
        <f aca="false">D41/SUM(D39:D41)*(G41+G40-C86)+C86</f>
        <v>#DIV/0!</v>
      </c>
    </row>
    <row r="88" customFormat="false" ht="12.75" hidden="true" customHeight="false" outlineLevel="0" collapsed="false">
      <c r="B88" s="119" t="s">
        <v>172</v>
      </c>
      <c r="C88" s="119" t="e">
        <f aca="false">D38/(D37+D38)*G38</f>
        <v>#DIV/0!</v>
      </c>
    </row>
    <row r="89" customFormat="false" ht="12.75" hidden="true" customHeight="false" outlineLevel="0" collapsed="false">
      <c r="B89" s="119" t="s">
        <v>103</v>
      </c>
      <c r="C89" s="119" t="e">
        <f aca="false">G38-C88+G39+C87</f>
        <v>#DIV/0!</v>
      </c>
    </row>
    <row r="90" customFormat="false" ht="12.75" hidden="true" customHeight="false" outlineLevel="0" collapsed="false"/>
    <row r="91" customFormat="false" ht="12.75" hidden="true" customHeight="false" outlineLevel="0" collapsed="false">
      <c r="B91" s="119" t="s">
        <v>200</v>
      </c>
    </row>
    <row r="92" customFormat="false" ht="12.75" hidden="true" customHeight="false" outlineLevel="0" collapsed="false"/>
    <row r="93" customFormat="false" ht="12.75" hidden="true" customHeight="false" outlineLevel="0" collapsed="false">
      <c r="B93" s="119" t="s">
        <v>232</v>
      </c>
      <c r="C93" s="119" t="n">
        <f aca="false">D55-D56+F73</f>
        <v>0</v>
      </c>
    </row>
    <row r="94" customFormat="false" ht="25.5" hidden="true" customHeight="false" outlineLevel="0" collapsed="false">
      <c r="B94" s="243" t="s">
        <v>233</v>
      </c>
      <c r="C94" s="122" t="n">
        <f aca="false">C93/2-F73</f>
        <v>0</v>
      </c>
    </row>
    <row r="109" customFormat="false" ht="12.75" hidden="true" customHeight="false" outlineLevel="0" collapsed="false"/>
    <row r="110" customFormat="false" ht="12.75" hidden="true" customHeight="false" outlineLevel="0" collapsed="false"/>
    <row r="111" customFormat="false" ht="12.75" hidden="true" customHeight="false" outlineLevel="0" collapsed="false">
      <c r="B111" s="119" t="s">
        <v>170</v>
      </c>
      <c r="C111" s="119" t="e">
        <f aca="false">D40/(D39+D40)*G40</f>
        <v>#DIV/0!</v>
      </c>
    </row>
    <row r="112" customFormat="false" ht="12.75" hidden="true" customHeight="false" outlineLevel="0" collapsed="false">
      <c r="B112" s="119" t="s">
        <v>171</v>
      </c>
      <c r="C112" s="119" t="e">
        <f aca="false">D41/SUM(D39:D41)*(G41+G40-C111)+C111</f>
        <v>#DIV/0!</v>
      </c>
    </row>
    <row r="113" customFormat="false" ht="12.75" hidden="true" customHeight="false" outlineLevel="0" collapsed="false">
      <c r="B113" s="119" t="s">
        <v>172</v>
      </c>
      <c r="C113" s="119" t="e">
        <f aca="false">D38/(D37+D38)*G38</f>
        <v>#DIV/0!</v>
      </c>
    </row>
    <row r="114" customFormat="false" ht="12.75" hidden="true" customHeight="false" outlineLevel="0" collapsed="false">
      <c r="B114" s="119" t="s">
        <v>103</v>
      </c>
      <c r="C114" s="119" t="e">
        <f aca="false">G38-C113+G39+C112</f>
        <v>#DIV/0!</v>
      </c>
    </row>
    <row r="115" customFormat="false" ht="12.75" hidden="true" customHeight="false" outlineLevel="0" collapsed="false"/>
    <row r="116" customFormat="false" ht="12.75" hidden="true" customHeight="false" outlineLevel="0" collapsed="false"/>
    <row r="117" customFormat="false" ht="12.75" hidden="true" customHeight="false" outlineLevel="0" collapsed="false"/>
    <row r="118" customFormat="false" ht="12.75" hidden="true" customHeight="false" outlineLevel="0" collapsed="false"/>
    <row r="119" customFormat="false" ht="12.75" hidden="true" customHeight="false" outlineLevel="0" collapsed="false"/>
    <row r="120" customFormat="false" ht="12.75" hidden="true" customHeight="false" outlineLevel="0" collapsed="false"/>
  </sheetData>
  <sheetProtection algorithmName="SHA-512" hashValue="wptfXgMl8PII8B3MGnslSjr5FwB2ME+g72aSq5MeOJaBpqfGxliV3eX9G+ugR9/yG8x17e1cKxxUHUaKcngRWw==" saltValue="9Ke38dDtewtZSBcy5YfLgQ==" spinCount="100000" sheet="true" objects="true" scenarios="true"/>
  <mergeCells count="28">
    <mergeCell ref="A1:H1"/>
    <mergeCell ref="A3:AMI3"/>
    <mergeCell ref="C5:D5"/>
    <mergeCell ref="C6:D6"/>
    <mergeCell ref="C7:D7"/>
    <mergeCell ref="C8:D8"/>
    <mergeCell ref="C9:D9"/>
    <mergeCell ref="C10:D10"/>
    <mergeCell ref="C11:D11"/>
    <mergeCell ref="C12:D12"/>
    <mergeCell ref="B14:D14"/>
    <mergeCell ref="B19:G19"/>
    <mergeCell ref="B35:E35"/>
    <mergeCell ref="F35:G35"/>
    <mergeCell ref="B37:B38"/>
    <mergeCell ref="E37:E38"/>
    <mergeCell ref="B39:B41"/>
    <mergeCell ref="E39:E41"/>
    <mergeCell ref="B44:E44"/>
    <mergeCell ref="B50:D50"/>
    <mergeCell ref="B52:C52"/>
    <mergeCell ref="B53:C53"/>
    <mergeCell ref="B54:C54"/>
    <mergeCell ref="B55:C55"/>
    <mergeCell ref="B58:D58"/>
    <mergeCell ref="B61:C61"/>
    <mergeCell ref="B72:F72"/>
    <mergeCell ref="B73:E73"/>
  </mergeCells>
  <conditionalFormatting sqref="B60:D60">
    <cfRule type="expression" priority="2" aboveAverage="0" equalAverage="0" bottom="0" percent="0" rank="0" text="" dxfId="65">
      <formula>$C60&lt;=$D60</formula>
    </cfRule>
    <cfRule type="expression" priority="3" aboveAverage="0" equalAverage="0" bottom="0" percent="0" rank="0" text="" dxfId="66">
      <formula>$C60&gt;$D60</formula>
    </cfRule>
  </conditionalFormatting>
  <conditionalFormatting sqref="B62:D62">
    <cfRule type="expression" priority="4" aboveAverage="0" equalAverage="0" bottom="0" percent="0" rank="0" text="" dxfId="67">
      <formula>$C62&gt;=$D62</formula>
    </cfRule>
    <cfRule type="expression" priority="5" aboveAverage="0" equalAverage="0" bottom="0" percent="0" rank="0" text="" dxfId="68">
      <formula>$C62&lt;$D62</formula>
    </cfRule>
  </conditionalFormatting>
  <conditionalFormatting sqref="E46:E48">
    <cfRule type="expression" priority="6" aboveAverage="0" equalAverage="0" bottom="0" percent="0" rank="0" text="" dxfId="69">
      <formula>SUM($E$46:$E$48)&lt;&gt;$D$17</formula>
    </cfRule>
    <cfRule type="expression" priority="7" aboveAverage="0" equalAverage="0" bottom="0" percent="0" rank="0" text="" dxfId="70">
      <formula>SUM($E$46:$E$48)=$D$17</formula>
    </cfRule>
  </conditionalFormatting>
  <dataValidations count="2">
    <dataValidation allowBlank="true" errorStyle="stop" operator="equal" showDropDown="false" showErrorMessage="true" showInputMessage="false" sqref="D26" type="list">
      <mc:AlternateContent xmlns:x12ac="http://schemas.microsoft.com/office/spreadsheetml/2011/1/ac" xmlns:mc="http://schemas.openxmlformats.org/markup-compatibility/2006">
        <mc:Choice Requires="x12ac">
          <x12ac:list>0,"0,510",0,"0,155",0,"0,350"</x12ac:list>
        </mc:Choice>
        <mc:Fallback>
          <formula1>"0,0,510,0,0,155,0,0,350"</formula1>
        </mc:Fallback>
      </mc:AlternateContent>
      <formula2>0</formula2>
    </dataValidation>
    <dataValidation allowBlank="true" errorStyle="stop" operator="equal" showDropDown="false" showErrorMessage="true" showInputMessage="false" sqref="D24:D25" type="list">
      <mc:AlternateContent xmlns:x12ac="http://schemas.microsoft.com/office/spreadsheetml/2011/1/ac" xmlns:mc="http://schemas.openxmlformats.org/markup-compatibility/2006">
        <mc:Choice Requires="x12ac">
          <x12ac:list>0,"0,840",0,"0,702"</x12ac:list>
        </mc:Choice>
        <mc:Fallback>
          <formula1>"0,0,840,0,0,702"</formula1>
        </mc:Fallback>
      </mc:AlternateContent>
      <formula2>0</formula2>
    </dataValidation>
  </dataValidations>
  <printOptions headings="false" gridLines="false" gridLinesSet="true" horizontalCentered="false" verticalCentered="false"/>
  <pageMargins left="0.7875" right="0.7875" top="0.7875" bottom="0.7875" header="0.511811023622047" footer="0.511811023622047"/>
  <pageSetup paperSize="9" scale="100" fitToWidth="1" fitToHeight="1" pageOrder="downThenOver" orientation="portrait" blackAndWhite="false" draft="false" cellComments="none" horizontalDpi="300" verticalDpi="300" copies="1"/>
  <headerFooter differentFirst="false" differentOddEven="false">
    <oddHeader/>
    <oddFooter/>
  </headerFooter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LibreOffice/7.3.7.2.M8$Windows_X86_64 LibreOffice_project/6d3c621d2a55ad69069ee1e9770686c208fa23a7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2025-06-30T11:02:15Z</dcterms:created>
  <dc:creator/>
  <dc:description>Pôle GSO : Pierre ESCALE &amp; Christophe TESTANIERE</dc:description>
  <dc:language>fr-FR</dc:language>
  <cp:lastModifiedBy/>
  <cp:revision>1</cp:revision>
  <dc:subject/>
  <dc:title>Répartition de charges selon UE 1230/2012</dc:title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